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Aug 20\"/>
    </mc:Choice>
  </mc:AlternateContent>
  <xr:revisionPtr revIDLastSave="0" documentId="13_ncr:1_{B69F9631-633F-47EA-BD97-A4AF81C230DE}" xr6:coauthVersionLast="41"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2868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92" i="1" a="1"/>
  <c r="D40" i="1" a="1"/>
  <c r="D41" i="1" a="1"/>
  <c r="D35" i="1" a="1"/>
  <c r="D152" i="1" a="1"/>
  <c r="Z15" i="1"/>
  <c r="D47" i="1" a="1"/>
  <c r="D184" i="1" a="1"/>
  <c r="D126" i="1" a="1"/>
  <c r="D29" i="1" a="1"/>
  <c r="D187" i="1" a="1"/>
  <c r="D134" i="1" a="1"/>
  <c r="D146" i="1" a="1"/>
  <c r="D177" i="1" a="1"/>
  <c r="D172" i="1" a="1"/>
  <c r="D120" i="1" a="1"/>
  <c r="D110" i="1" a="1"/>
  <c r="D30" i="1" a="1"/>
  <c r="D73" i="1" a="1"/>
  <c r="D197" i="1" a="1"/>
  <c r="D191" i="1" a="1"/>
  <c r="D137" i="1" a="1"/>
  <c r="D213" i="1" a="1"/>
  <c r="R15" i="1"/>
  <c r="D204" i="1" a="1"/>
  <c r="V15" i="1"/>
  <c r="D79" i="1" a="1"/>
  <c r="D167" i="1" a="1"/>
  <c r="D205" i="1" a="1"/>
  <c r="D55" i="1" a="1"/>
  <c r="D44" i="1" a="1"/>
  <c r="D118" i="1" a="1"/>
  <c r="D62" i="1" a="1"/>
  <c r="D71" i="1" a="1"/>
  <c r="D81" i="1" a="1"/>
  <c r="D198" i="1" a="1"/>
  <c r="D181" i="1" a="1"/>
  <c r="D139" i="1" a="1"/>
  <c r="U15" i="1"/>
  <c r="D164" i="1" a="1"/>
  <c r="D89" i="1" a="1"/>
  <c r="D39" i="1" a="1"/>
  <c r="D17" i="1" a="1"/>
  <c r="D186" i="1" a="1"/>
  <c r="D175" i="1" a="1"/>
  <c r="D91" i="1" a="1"/>
  <c r="D207" i="1" a="1"/>
  <c r="P15" i="1"/>
  <c r="D85" i="1" a="1"/>
  <c r="D161" i="1" a="1"/>
  <c r="D121" i="1" a="1"/>
  <c r="D111" i="1" a="1"/>
  <c r="D163" i="1" a="1"/>
  <c r="D56" i="1" a="1"/>
  <c r="D20" i="1" a="1"/>
  <c r="D94" i="1" a="1"/>
  <c r="D92" i="1" a="1"/>
  <c r="D60" i="1" a="1"/>
  <c r="D182" i="1" a="1"/>
  <c r="D176" i="1" a="1"/>
  <c r="D160" i="1" a="1"/>
  <c r="D104" i="1" a="1"/>
  <c r="D202" i="1" a="1"/>
  <c r="D65" i="1" a="1"/>
  <c r="D156" i="1" a="1"/>
  <c r="L15" i="1"/>
  <c r="D61" i="1" a="1"/>
  <c r="D75" i="1" a="1"/>
  <c r="D162" i="1" a="1"/>
  <c r="D165" i="1" a="1"/>
  <c r="D68" i="1" a="1"/>
  <c r="D70" i="1" a="1"/>
  <c r="D203" i="1" a="1"/>
  <c r="D72" i="1" a="1"/>
  <c r="D147" i="1" a="1"/>
  <c r="D145" i="1" a="1"/>
  <c r="D168" i="1" a="1"/>
  <c r="D83" i="1" a="1"/>
  <c r="D131" i="1" a="1"/>
  <c r="D180" i="1" a="1"/>
  <c r="D185" i="1" a="1"/>
  <c r="D188" i="1" a="1"/>
  <c r="D78" i="1" a="1"/>
  <c r="AA15" i="1"/>
  <c r="D102" i="1" a="1"/>
  <c r="D212" i="1" a="1"/>
  <c r="D46" i="1" a="1"/>
  <c r="X15" i="1"/>
  <c r="D74" i="1" a="1"/>
  <c r="D112" i="1" a="1"/>
  <c r="D169" i="1" a="1"/>
  <c r="D86" i="1" a="1"/>
  <c r="D105" i="1" a="1"/>
  <c r="D96" i="1" a="1"/>
  <c r="D154" i="1" a="1"/>
  <c r="D193" i="1" a="1"/>
  <c r="D109" i="1" a="1"/>
  <c r="D23" i="1" a="1"/>
  <c r="D26" i="1" a="1"/>
  <c r="D132" i="1" a="1"/>
  <c r="D157" i="1" a="1"/>
  <c r="D87" i="1" a="1"/>
  <c r="D166" i="1" a="1"/>
  <c r="D215" i="1" a="1"/>
  <c r="D122" i="1" a="1"/>
  <c r="D101" i="1" a="1"/>
  <c r="D18" i="1" a="1"/>
  <c r="D158" i="1" a="1"/>
  <c r="D190" i="1" a="1"/>
  <c r="D151" i="1" a="1"/>
  <c r="D33" i="1" a="1"/>
  <c r="D52" i="1" a="1"/>
  <c r="D38" i="1" a="1"/>
  <c r="M15" i="1"/>
  <c r="D21" i="1" a="1"/>
  <c r="D36" i="1" a="1"/>
  <c r="D49" i="1" a="1"/>
  <c r="D19" i="1" a="1"/>
  <c r="D37" i="1" a="1"/>
  <c r="D76" i="1" a="1"/>
  <c r="D66" i="1" a="1"/>
  <c r="D125" i="1" a="1"/>
  <c r="D28" i="1" a="1"/>
  <c r="D63" i="1" a="1"/>
  <c r="D136" i="1" a="1"/>
  <c r="D178" i="1" a="1"/>
  <c r="D67" i="1" a="1"/>
  <c r="D170" i="1" a="1"/>
  <c r="D150" i="1" a="1"/>
  <c r="D32" i="1" a="1"/>
  <c r="D108" i="1" a="1"/>
  <c r="D159" i="1" a="1"/>
  <c r="D22" i="1" a="1"/>
  <c r="D209" i="1" a="1"/>
  <c r="D119" i="1" a="1"/>
  <c r="D53" i="1" a="1"/>
  <c r="Q15" i="1"/>
  <c r="S15" i="1"/>
  <c r="D24" i="1" a="1"/>
  <c r="D97" i="1" a="1"/>
  <c r="D199" i="1" a="1"/>
  <c r="I15" i="1"/>
  <c r="D195" i="1" a="1"/>
  <c r="T15" i="1"/>
  <c r="AP15" i="1" s="1"/>
  <c r="D64" i="1" a="1"/>
  <c r="D200" i="1" a="1"/>
  <c r="D129" i="1" a="1"/>
  <c r="D93" i="1" a="1"/>
  <c r="D45" i="1" a="1"/>
  <c r="AB15" i="1"/>
  <c r="D50" i="1" a="1"/>
  <c r="D149" i="1" a="1"/>
  <c r="D171" i="1" a="1"/>
  <c r="D140" i="1" a="1"/>
  <c r="D153" i="1" a="1"/>
  <c r="D144" i="1" a="1"/>
  <c r="D124" i="1" a="1"/>
  <c r="D135" i="1" a="1"/>
  <c r="D88" i="1" a="1"/>
  <c r="D42" i="1" a="1"/>
  <c r="D210" i="1" a="1"/>
  <c r="O15" i="1"/>
  <c r="D58" i="1" a="1"/>
  <c r="D214" i="1" a="1"/>
  <c r="D114" i="1" a="1"/>
  <c r="D48" i="1" a="1"/>
  <c r="W15" i="1"/>
  <c r="D95" i="1" a="1"/>
  <c r="D208" i="1" a="1"/>
  <c r="D80" i="1" a="1"/>
  <c r="D128" i="1" a="1"/>
  <c r="D43" i="1" a="1"/>
  <c r="D57" i="1" a="1"/>
  <c r="D130" i="1" a="1"/>
  <c r="D84" i="1" a="1"/>
  <c r="D115" i="1" a="1"/>
  <c r="D201" i="1" a="1"/>
  <c r="D113" i="1" a="1"/>
  <c r="D133" i="1" a="1"/>
  <c r="D69" i="1" a="1"/>
  <c r="N15" i="1"/>
  <c r="Y15" i="1"/>
  <c r="D27" i="1" a="1"/>
  <c r="D116" i="1" a="1"/>
  <c r="D77" i="1" a="1"/>
  <c r="D16" i="1" a="1"/>
  <c r="D54" i="1" a="1"/>
  <c r="D99" i="1" a="1"/>
  <c r="D51" i="1" a="1"/>
  <c r="D189" i="1" a="1"/>
  <c r="D148" i="1" a="1"/>
  <c r="D90" i="1" a="1"/>
  <c r="D143" i="1" a="1"/>
  <c r="D31" i="1" a="1"/>
  <c r="J15" i="1"/>
  <c r="D123" i="1" a="1"/>
  <c r="D103" i="1" a="1"/>
  <c r="D206" i="1" a="1"/>
  <c r="D211" i="1" a="1"/>
  <c r="D196" i="1" a="1"/>
  <c r="D107" i="1" a="1"/>
  <c r="D59" i="1" a="1"/>
  <c r="D34" i="1" a="1"/>
  <c r="D155" i="1" a="1"/>
  <c r="D127" i="1" a="1"/>
  <c r="D142" i="1" a="1"/>
  <c r="AC15" i="1"/>
  <c r="K15" i="1"/>
  <c r="D117" i="1" a="1"/>
  <c r="D25" i="1" a="1"/>
  <c r="D98" i="1" a="1"/>
  <c r="D138" i="1" a="1"/>
  <c r="D100" i="1" a="1"/>
  <c r="D82" i="1" a="1"/>
  <c r="D194" i="1" a="1"/>
  <c r="D106" i="1" a="1"/>
  <c r="D173" i="1" a="1"/>
  <c r="D174" i="1" a="1"/>
  <c r="D183" i="1" a="1"/>
  <c r="D141" i="1" a="1"/>
  <c r="D179" i="1" a="1"/>
  <c r="AF15" i="1"/>
  <c r="AD15" i="1"/>
  <c r="G7" i="9" l="1"/>
  <c r="D84" i="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N15" i="1"/>
  <c r="A50" i="1" a="1"/>
  <c r="A131" i="1" a="1"/>
  <c r="A144" i="1" a="1"/>
  <c r="A62" i="1" a="1"/>
  <c r="A197" i="1" a="1"/>
  <c r="A78" i="1" a="1"/>
  <c r="A136" i="1" a="1"/>
  <c r="A69" i="1" a="1"/>
  <c r="A105" i="1" a="1"/>
  <c r="A59" i="1" a="1"/>
  <c r="A130" i="1" a="1"/>
  <c r="A117" i="1" a="1"/>
  <c r="A38" i="1" a="1"/>
  <c r="AS15" i="1"/>
  <c r="A183" i="1" a="1"/>
  <c r="A24" i="1" a="1"/>
  <c r="A167" i="1" a="1"/>
  <c r="A112" i="1" a="1"/>
  <c r="A88" i="1" a="1"/>
  <c r="A143" i="1" a="1"/>
  <c r="A103" i="1" a="1"/>
  <c r="A149" i="1" a="1"/>
  <c r="A16" i="1" a="1"/>
  <c r="A23" i="1" a="1"/>
  <c r="A191" i="1" a="1"/>
  <c r="A129" i="1" a="1"/>
  <c r="A141" i="1" a="1"/>
  <c r="A51" i="1" a="1"/>
  <c r="AQ15" i="1"/>
  <c r="AL15" i="1"/>
  <c r="A53" i="1" a="1"/>
  <c r="A207" i="1" a="1"/>
  <c r="A142" i="1" a="1"/>
  <c r="A128" i="1" a="1"/>
  <c r="A68" i="1" a="1"/>
  <c r="A114" i="1" a="1"/>
  <c r="A193" i="1" a="1"/>
  <c r="A118" i="1" a="1"/>
  <c r="A154" i="1" a="1"/>
  <c r="A152" i="1" a="1"/>
  <c r="A170" i="1" a="1"/>
  <c r="A92" i="1" a="1"/>
  <c r="A158" i="1" a="1"/>
  <c r="A89" i="1" a="1"/>
  <c r="A34" i="1" a="1"/>
  <c r="A179" i="1" a="1"/>
  <c r="A171" i="1" a="1"/>
  <c r="A93" i="1" a="1"/>
  <c r="A111" i="1" a="1"/>
  <c r="A77" i="1" a="1"/>
  <c r="A43" i="1" a="1"/>
  <c r="A37" i="1" a="1"/>
  <c r="A151" i="1" a="1"/>
  <c r="A80" i="1" a="1"/>
  <c r="A153" i="1" a="1"/>
  <c r="AO15" i="1"/>
  <c r="A140" i="1" a="1"/>
  <c r="AM15" i="1"/>
  <c r="A169" i="1" a="1"/>
  <c r="A21" i="1" a="1"/>
  <c r="A108" i="1" a="1"/>
  <c r="A83" i="1" a="1"/>
  <c r="A198" i="1" a="1"/>
  <c r="A22" i="1" a="1"/>
  <c r="A137" i="1" a="1"/>
  <c r="A165" i="1" a="1"/>
  <c r="A156" i="1" a="1"/>
  <c r="A211" i="1" a="1"/>
  <c r="A26" i="1" a="1"/>
  <c r="A107" i="1" a="1"/>
  <c r="A84" i="1" a="1"/>
  <c r="A148" i="1" a="1"/>
  <c r="A49" i="1" a="1"/>
  <c r="A187" i="1" a="1"/>
  <c r="A200" i="1" a="1"/>
  <c r="A163" i="1" a="1"/>
  <c r="A146" i="1" a="1"/>
  <c r="A97" i="1" a="1"/>
  <c r="A20" i="1" a="1"/>
  <c r="A124" i="1" a="1"/>
  <c r="A164" i="1" a="1"/>
  <c r="A61" i="1" a="1"/>
  <c r="A139" i="1" a="1"/>
  <c r="A173" i="1" a="1"/>
  <c r="A25" i="1" a="1"/>
  <c r="A99" i="1" a="1"/>
  <c r="A195" i="1" a="1"/>
  <c r="A55" i="1" a="1"/>
  <c r="A162" i="1" a="1"/>
  <c r="A159" i="1" a="1"/>
  <c r="A94" i="1" a="1"/>
  <c r="A100" i="1" a="1"/>
  <c r="A168" i="1" a="1"/>
  <c r="A40" i="1" a="1"/>
  <c r="A188" i="1" a="1"/>
  <c r="A44" i="1" a="1"/>
  <c r="A81" i="1" a="1"/>
  <c r="A79" i="1" a="1"/>
  <c r="A172" i="1" a="1"/>
  <c r="A52" i="1" a="1"/>
  <c r="A74" i="1" a="1"/>
  <c r="A214" i="1" a="1"/>
  <c r="AR15" i="1"/>
  <c r="AE15" i="1"/>
  <c r="A67" i="1" a="1"/>
  <c r="AG15" i="1"/>
  <c r="A125" i="1" a="1"/>
  <c r="A206" i="1" a="1"/>
  <c r="A86" i="1" a="1"/>
  <c r="A102" i="1" a="1"/>
  <c r="A58" i="1" a="1"/>
  <c r="A76" i="1" a="1"/>
  <c r="A36" i="1" a="1"/>
  <c r="A178" i="1" a="1"/>
  <c r="A70" i="1" a="1"/>
  <c r="AH15" i="1"/>
  <c r="A138" i="1" a="1"/>
  <c r="A126" i="1" a="1"/>
  <c r="A66" i="1" a="1"/>
  <c r="A41" i="1" a="1"/>
  <c r="A48" i="1" a="1"/>
  <c r="A155" i="1" a="1"/>
  <c r="A110" i="1" a="1"/>
  <c r="A39" i="1" a="1"/>
  <c r="AI15" i="1"/>
  <c r="A160" i="1" a="1"/>
  <c r="A181" i="1" a="1"/>
  <c r="A184" i="1" a="1"/>
  <c r="A47" i="1" a="1"/>
  <c r="A64" i="1" a="1"/>
  <c r="A91" i="1" a="1"/>
  <c r="A82" i="1" a="1"/>
  <c r="A161" i="1" a="1"/>
  <c r="A182" i="1" a="1"/>
  <c r="A75" i="1" a="1"/>
  <c r="A133" i="1" a="1"/>
  <c r="A212" i="1" a="1"/>
  <c r="A150" i="1" a="1"/>
  <c r="A63" i="1" a="1"/>
  <c r="A203" i="1" a="1"/>
  <c r="A101" i="1" a="1"/>
  <c r="AT15" i="1"/>
  <c r="A17" i="1" a="1"/>
  <c r="A60" i="1" a="1"/>
  <c r="A202" i="1" a="1"/>
  <c r="A145" i="1" a="1"/>
  <c r="A121" i="1" a="1"/>
  <c r="A176" i="1" a="1"/>
  <c r="A174" i="1" a="1"/>
  <c r="A175" i="1" a="1"/>
  <c r="A185" i="1" a="1"/>
  <c r="A132" i="1" a="1"/>
  <c r="A19" i="1" a="1"/>
  <c r="A28" i="1" a="1"/>
  <c r="A201" i="1" a="1"/>
  <c r="A209" i="1" a="1"/>
  <c r="A215" i="1" a="1"/>
  <c r="A120" i="1" a="1"/>
  <c r="A196" i="1" a="1"/>
  <c r="A109" i="1" a="1"/>
  <c r="A46" i="1" a="1"/>
  <c r="A71" i="1" a="1"/>
  <c r="A213" i="1" a="1"/>
  <c r="A123" i="1" a="1"/>
  <c r="A127" i="1" a="1"/>
  <c r="A190" i="1" a="1"/>
  <c r="A106" i="1" a="1"/>
  <c r="A192" i="1" a="1"/>
  <c r="A157" i="1" a="1"/>
  <c r="A205" i="1" a="1"/>
  <c r="A95" i="1" a="1"/>
  <c r="A18" i="1" a="1"/>
  <c r="A119" i="1" a="1"/>
  <c r="A73" i="1" a="1"/>
  <c r="A29" i="1" a="1"/>
  <c r="A147" i="1" a="1"/>
  <c r="A204" i="1" a="1"/>
  <c r="A32" i="1" a="1"/>
  <c r="A113" i="1" a="1"/>
  <c r="A72" i="1" a="1"/>
  <c r="A31" i="1" a="1"/>
  <c r="A194" i="1" a="1"/>
  <c r="AK15" i="1"/>
  <c r="A57" i="1" a="1"/>
  <c r="A166" i="1" a="1"/>
  <c r="A45" i="1" a="1"/>
  <c r="A104" i="1" a="1"/>
  <c r="A210" i="1" a="1"/>
  <c r="A33" i="1" a="1"/>
  <c r="A90" i="1" a="1"/>
  <c r="A30" i="1" a="1"/>
  <c r="A42" i="1" a="1"/>
  <c r="A116" i="1" a="1"/>
  <c r="A96" i="1" a="1"/>
  <c r="A177" i="1" a="1"/>
  <c r="A180" i="1" a="1"/>
  <c r="A35" i="1" a="1"/>
  <c r="A115" i="1" a="1"/>
  <c r="A56" i="1" a="1"/>
  <c r="A87" i="1" a="1"/>
  <c r="A208" i="1" a="1"/>
  <c r="A122" i="1" a="1"/>
  <c r="A134" i="1" a="1"/>
  <c r="A65" i="1" a="1"/>
  <c r="A98" i="1" a="1"/>
  <c r="A27" i="1" a="1"/>
  <c r="A186" i="1" a="1"/>
  <c r="A199" i="1" a="1"/>
  <c r="A189" i="1" a="1"/>
  <c r="A54" i="1" a="1"/>
  <c r="A135" i="1" a="1"/>
  <c r="A85" i="1" a="1"/>
  <c r="F7" i="9" l="1"/>
  <c r="H7" i="9"/>
  <c r="E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76" i="8" a="1"/>
  <c r="E80" i="8" a="1"/>
  <c r="E73" i="8" a="1"/>
  <c r="E39" i="8" a="1"/>
  <c r="E12" i="8" a="1"/>
  <c r="E164" i="8" a="1"/>
  <c r="E13" i="8" a="1"/>
  <c r="E109" i="8" a="1"/>
  <c r="E152" i="8" a="1"/>
  <c r="E104" i="8" a="1"/>
  <c r="E96" i="8" a="1"/>
  <c r="E168" i="8" a="1"/>
  <c r="E7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50" i="8" a="1"/>
  <c r="E118" i="8" a="1"/>
  <c r="E82" i="8" a="1"/>
  <c r="E135" i="8" a="1"/>
  <c r="E56" i="8" a="1"/>
  <c r="E44" i="8" a="1"/>
  <c r="E97" i="8" a="1"/>
  <c r="E160" i="8" a="1"/>
  <c r="E112" i="8" a="1"/>
  <c r="E65" i="8" a="1"/>
  <c r="E51" i="8" a="1"/>
  <c r="E151" i="8" a="1"/>
  <c r="E63" i="8" a="1"/>
  <c r="E18" i="8" a="1"/>
  <c r="E125" i="8" a="1"/>
  <c r="E72" i="8" a="1"/>
  <c r="E58" i="8" a="1"/>
  <c r="E192" i="8" a="1"/>
  <c r="E75" i="8" a="1"/>
  <c r="E108" i="8" a="1"/>
  <c r="E64" i="8" a="1"/>
  <c r="E175" i="8" a="1"/>
  <c r="E194" i="8" a="1"/>
  <c r="E19" i="8" a="1"/>
  <c r="E205" i="8" a="1"/>
  <c r="E159" i="8" a="1"/>
  <c r="E46" i="8" a="1"/>
  <c r="E203" i="8" a="1"/>
  <c r="E157" i="8" a="1"/>
  <c r="E14" i="8" a="1"/>
  <c r="E155" i="8" a="1"/>
  <c r="E57" i="8" a="1"/>
  <c r="E117" i="8" a="1"/>
  <c r="E202" i="8" a="1"/>
  <c r="E146" i="8" a="1"/>
  <c r="E86" i="8" a="1"/>
  <c r="E36" i="8" a="1"/>
  <c r="E161" i="8" a="1"/>
  <c r="E143" i="8" a="1"/>
  <c r="E70" i="8" a="1"/>
  <c r="E187" i="8" a="1"/>
  <c r="E101" i="8" a="1"/>
  <c r="E131" i="8" a="1"/>
  <c r="E78" i="8" a="1"/>
  <c r="E17" i="8" a="1"/>
  <c r="E204" i="8" a="1"/>
  <c r="E171" i="8" a="1"/>
  <c r="E115" i="8" a="1"/>
  <c r="E106" i="8" a="1"/>
  <c r="E92" i="8" a="1"/>
  <c r="E197" i="8" a="1"/>
  <c r="E15" i="8" a="1"/>
  <c r="E173" i="8" a="1"/>
  <c r="E191" i="8" a="1"/>
  <c r="E41" i="8" a="1"/>
  <c r="E24" i="8" a="1"/>
  <c r="E34" i="8" a="1"/>
  <c r="E121" i="8" a="1"/>
  <c r="E195" i="8" a="1"/>
  <c r="E32" i="8" a="1"/>
  <c r="E184" i="8" a="1"/>
  <c r="E170" i="8" a="1"/>
  <c r="E47" i="8" a="1"/>
  <c r="E33" i="8" a="1"/>
  <c r="E174" i="8" a="1"/>
  <c r="E62" i="8" a="1"/>
  <c r="E122" i="8" a="1"/>
  <c r="E120" i="8" a="1"/>
  <c r="E163" i="8" a="1"/>
  <c r="E40" i="8" a="1"/>
  <c r="E181" i="8" a="1"/>
  <c r="E103" i="8" a="1"/>
  <c r="E165" i="8" a="1"/>
  <c r="E48" i="8" a="1"/>
  <c r="E105" i="8" a="1"/>
  <c r="E200" i="8" a="1"/>
  <c r="E102" i="8" a="1"/>
  <c r="E142" i="8" a="1"/>
  <c r="E190" i="8" a="1"/>
  <c r="E199" i="8" a="1"/>
  <c r="E89" i="8" a="1"/>
  <c r="E23" i="8" a="1"/>
  <c r="E10" i="8" a="1"/>
  <c r="E113" i="8" a="1"/>
  <c r="E188" i="8" a="1"/>
  <c r="E90" i="8" a="1"/>
  <c r="E148" i="8" a="1"/>
  <c r="E100" i="8" a="1"/>
  <c r="E126" i="8" a="1"/>
  <c r="E94" i="8" a="1"/>
  <c r="E169" i="8" a="1"/>
  <c r="E30" i="8" a="1"/>
  <c r="E153" i="8" a="1"/>
  <c r="E91" i="8" a="1"/>
  <c r="E60" i="8" a="1"/>
  <c r="E7" i="8" a="1"/>
  <c r="E68" i="8" a="1"/>
  <c r="E84" i="8" a="1"/>
  <c r="E54" i="8" a="1"/>
  <c r="E88" i="8" a="1"/>
  <c r="E67" i="8" a="1"/>
  <c r="E85" i="8" a="1"/>
  <c r="E133" i="8" a="1"/>
  <c r="E29" i="8" a="1"/>
  <c r="E128" i="8" a="1"/>
  <c r="E69" i="8" a="1"/>
  <c r="E11" i="8" a="1"/>
  <c r="E95" i="8" a="1"/>
  <c r="E123" i="8" a="1"/>
  <c r="E177" i="8" a="1"/>
  <c r="E25" i="8" a="1"/>
  <c r="E144" i="8" a="1"/>
  <c r="E166" i="8" a="1"/>
  <c r="E141" i="8" a="1"/>
  <c r="E98" i="8" a="1"/>
  <c r="E38" i="8" a="1"/>
  <c r="E52" i="8" a="1"/>
  <c r="E45" i="8" a="1"/>
  <c r="E179" i="8" a="1"/>
  <c r="E20" i="8" a="1"/>
  <c r="E116" i="8" a="1"/>
  <c r="E35" i="8" a="1"/>
  <c r="E124" i="8" a="1"/>
  <c r="E28" i="8" a="1"/>
  <c r="E114" i="8" a="1"/>
  <c r="E134" i="8" a="1"/>
  <c r="E198" i="8" a="1"/>
  <c r="E87" i="8" a="1"/>
  <c r="E43" i="8" a="1"/>
  <c r="E8" i="8" a="1"/>
  <c r="E111" i="8" a="1"/>
  <c r="E49" i="8" a="1"/>
  <c r="E77" i="8" a="1"/>
  <c r="E66" i="8" a="1"/>
  <c r="E150" i="8" a="1"/>
  <c r="E79" i="8" a="1"/>
  <c r="E137" i="8" a="1"/>
  <c r="E182" i="8" a="1"/>
  <c r="E189" i="8" a="1"/>
  <c r="E180" i="8" a="1"/>
  <c r="E178" i="8" a="1"/>
  <c r="E156" i="8" a="1"/>
  <c r="E21" i="8" a="1"/>
  <c r="E193" i="8" a="1"/>
  <c r="E53" i="8" a="1"/>
  <c r="E183" i="8" a="1"/>
  <c r="E37" i="8" a="1"/>
  <c r="E119" i="8" a="1"/>
  <c r="E140" i="8" a="1"/>
  <c r="E149" i="8" a="1"/>
  <c r="E201" i="8" a="1"/>
  <c r="E93" i="8" a="1"/>
  <c r="E132" i="8" a="1"/>
  <c r="E16" i="8" a="1"/>
  <c r="E99" i="8" a="1"/>
  <c r="E138" i="8" a="1"/>
  <c r="E139" i="8" a="1"/>
  <c r="E110" i="8" a="1"/>
  <c r="E74" i="8" a="1"/>
  <c r="E42" i="8" a="1"/>
  <c r="E31" i="8" a="1"/>
  <c r="E172" i="8" a="1"/>
  <c r="E83" i="8" a="1"/>
  <c r="E167" i="8" a="1"/>
  <c r="E71" i="8" a="1"/>
  <c r="E27" i="8" a="1"/>
  <c r="E154" i="8" a="1"/>
  <c r="E129" i="8" a="1"/>
  <c r="E158" i="8" a="1"/>
  <c r="E59" i="8" a="1"/>
  <c r="E61" i="8" a="1"/>
  <c r="E145" i="8" a="1"/>
  <c r="E196" i="8" a="1"/>
  <c r="E107" i="8" a="1"/>
  <c r="E55" i="8" a="1"/>
  <c r="E9" i="8" a="1"/>
  <c r="E81" i="8" a="1"/>
  <c r="E162" i="8" a="1"/>
  <c r="E22" i="8" a="1"/>
  <c r="E186" i="8" a="1"/>
  <c r="E127" i="8" a="1"/>
  <c r="E147" i="8" a="1"/>
  <c r="E26" i="8" a="1"/>
  <c r="E185" i="8" a="1"/>
  <c r="E130" i="8" a="1"/>
  <c r="E136"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<sst xmlns="http://schemas.openxmlformats.org/spreadsheetml/2006/main" count="45430" uniqueCount="16368">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</sst>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7">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xf numFmtId="0" fontId="28"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34"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0" fillId="0" borderId="0" xfId="0" applyFont="1"/>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25" fillId="2" borderId="6" xfId="6" applyFont="1" applyFill="1" applyBorder="1" applyAlignment="1" applyProtection="1">
      <alignment horizontal="center" vertical="center" wrapText="1"/>
      <protection locked="0"/>
    </xf>
    <xf numFmtId="0" fontId="27" fillId="2" borderId="9" xfId="3" quotePrefix="1" applyFont="1" applyFill="1" applyBorder="1" applyAlignment="1" applyProtection="1">
      <alignment horizontal="center" vertical="center"/>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27" fillId="2" borderId="8" xfId="6" applyFont="1" applyFill="1" applyBorder="1" applyAlignment="1" applyProtection="1">
      <alignment horizontal="left" vertical="top" wrapText="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5" applyFont="1" applyFill="1" applyBorder="1" applyAlignment="1" applyProtection="1">
      <alignment horizontal="center" vertical="center" wrapText="1"/>
      <protection locked="0" hidden="1"/>
    </xf>
    <xf numFmtId="0" fontId="17" fillId="2" borderId="4" xfId="5" applyFont="1" applyFill="1" applyBorder="1" applyAlignment="1" applyProtection="1">
      <alignment horizontal="center" vertical="center" wrapText="1"/>
      <protection locked="0"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0" fillId="3" borderId="9"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5" xfId="0" applyFont="1" applyFill="1" applyBorder="1" applyAlignment="1">
      <alignment horizontal="center"/>
    </xf>
  </cellXfs>
  <cellStyles count="7">
    <cellStyle name="Hyperlink" xfId="2" builtinId="8"/>
    <cellStyle name="Normal" xfId="0" builtinId="0"/>
    <cellStyle name="Normal 2 2" xfId="6" xr:uid="{C29A6765-FC83-4104-AB2C-208C9596DC03}"/>
    <cellStyle name="Normal 3" xfId="4" xr:uid="{22AA7B27-3BDB-41BA-AC52-0F6EF431B489}"/>
    <cellStyle name="Normal 4" xfId="5" xr:uid="{C49708B7-9395-4059-8B93-EC9C06BA67A0}"/>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ation%20Management%20Team/Reports/Returns/Staffing%20(Ward)/20-21%20Safer%20Staffing/Jun%2020/Safer%20Staffing%20Return%20Jun%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History"/>
      <sheetName val="Cover"/>
      <sheetName val="Control_Panel"/>
      <sheetName val="Trust - Frontsheet"/>
      <sheetName val="Validation"/>
      <sheetName val="Wards"/>
      <sheetName val="Index"/>
      <sheetName val="Backshee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8"/>
  <sheetViews>
    <sheetView workbookViewId="0">
      <selection activeCell="E11" sqref="E11"/>
    </sheetView>
  </sheetViews>
  <sheetFormatPr defaultRowHeight="15" x14ac:dyDescent="0.2"/>
  <cols>
    <col min="3" max="3" width="9.88671875" bestFit="1" customWidth="1"/>
    <col min="4" max="4" width="13.3320312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RXM</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row>
    <row r="3" spans="1:24" ht="15" customHeight="1" x14ac:dyDescent="0.2">
      <c r="D3" s="91"/>
      <c r="E3" s="91"/>
      <c r="F3" s="91"/>
      <c r="G3" s="91"/>
      <c r="H3" s="91"/>
    </row>
    <row r="4" spans="1:24" ht="57.75" customHeight="1" x14ac:dyDescent="0.2">
      <c r="D4" s="92" t="s">
        <v>42</v>
      </c>
      <c r="E4" s="92"/>
      <c r="F4" s="92"/>
      <c r="G4" s="92"/>
      <c r="H4" s="92"/>
      <c r="I4" s="23"/>
      <c r="J4" s="23"/>
    </row>
    <row r="6" spans="1:24" ht="15.75" x14ac:dyDescent="0.2">
      <c r="E6" s="9" t="s">
        <v>125</v>
      </c>
      <c r="F6" s="89" t="str">
        <f>VLOOKUP(OrgCodeSelection,Orgs,2,FALSE)</f>
        <v>Derbyshire Healthcare NHS Foundation Trust</v>
      </c>
      <c r="G6" s="90"/>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93" t="s">
        <v>16350</v>
      </c>
      <c r="E15" s="93"/>
      <c r="F15" s="93"/>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dimension ref="A1:AU216"/>
  <sheetViews>
    <sheetView showGridLines="0" tabSelected="1" topLeftCell="B13" zoomScale="70" zoomScaleNormal="70" workbookViewId="0">
      <selection activeCell="Y16" sqref="Y16:AC30"/>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3320312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7" t="s">
        <v>0</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row>
    <row r="3" spans="1:47" ht="33" customHeight="1" x14ac:dyDescent="0.2">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RXM</v>
      </c>
      <c r="F5" s="98" t="str">
        <f>IF(ISBLANK(OrgNameSelection),"",OrgNameSelection)</f>
        <v>Derbyshire Healthcare NHS Foundation Trust</v>
      </c>
      <c r="G5" s="98"/>
      <c r="H5" s="98"/>
      <c r="I5" s="98"/>
      <c r="J5" s="98"/>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9" t="s">
        <v>2</v>
      </c>
      <c r="G7" s="99"/>
      <c r="H7" s="99"/>
      <c r="I7" s="99"/>
      <c r="J7" s="99"/>
      <c r="K7" s="99"/>
      <c r="L7" s="99"/>
      <c r="M7" s="99"/>
      <c r="N7" s="99"/>
      <c r="O7" s="99"/>
      <c r="P7" s="99"/>
      <c r="Q7" s="99"/>
      <c r="R7" s="99"/>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100" t="s">
        <v>3</v>
      </c>
      <c r="G8" s="100"/>
      <c r="H8" s="100"/>
      <c r="I8" s="100"/>
      <c r="J8" s="100"/>
      <c r="K8" s="100"/>
      <c r="L8" s="100"/>
      <c r="M8" s="100"/>
      <c r="N8" s="100"/>
      <c r="O8" s="100"/>
      <c r="P8" s="100"/>
      <c r="Q8" s="100"/>
      <c r="R8" s="100"/>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101" t="s">
        <v>16367</v>
      </c>
      <c r="G9" s="102"/>
      <c r="H9" s="102"/>
      <c r="I9" s="102"/>
      <c r="J9" s="102"/>
      <c r="K9" s="102"/>
      <c r="L9" s="102"/>
      <c r="M9" s="102"/>
      <c r="N9" s="102"/>
      <c r="O9" s="102"/>
      <c r="P9" s="102"/>
      <c r="Q9" s="102"/>
      <c r="R9" s="103"/>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104"/>
      <c r="E10" s="104"/>
      <c r="F10" s="10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5"/>
      <c r="H10" s="105"/>
      <c r="I10" s="105"/>
      <c r="J10" s="105"/>
      <c r="K10" s="105"/>
      <c r="L10" s="105"/>
      <c r="M10" s="105"/>
      <c r="N10" s="105"/>
      <c r="O10" s="105"/>
      <c r="P10" s="105"/>
      <c r="Q10" s="105"/>
      <c r="R10" s="105"/>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13"/>
      <c r="E11" s="113"/>
      <c r="F11" s="48" t="s">
        <v>4</v>
      </c>
      <c r="G11" s="36"/>
      <c r="H11" s="36"/>
      <c r="I11" s="114" t="s">
        <v>5</v>
      </c>
      <c r="J11" s="115"/>
      <c r="K11" s="115"/>
      <c r="L11" s="115"/>
      <c r="M11" s="115"/>
      <c r="N11" s="115"/>
      <c r="O11" s="115"/>
      <c r="P11" s="116"/>
      <c r="Q11" s="114" t="s">
        <v>6</v>
      </c>
      <c r="R11" s="115"/>
      <c r="S11" s="115"/>
      <c r="T11" s="115"/>
      <c r="U11" s="115"/>
      <c r="V11" s="115"/>
      <c r="W11" s="115"/>
      <c r="X11" s="116"/>
      <c r="Y11" s="114" t="s">
        <v>7</v>
      </c>
      <c r="Z11" s="117"/>
      <c r="AA11" s="117"/>
      <c r="AB11" s="118"/>
      <c r="AC11" s="119" t="s">
        <v>8</v>
      </c>
      <c r="AD11" s="119"/>
      <c r="AE11" s="119"/>
      <c r="AF11" s="119"/>
      <c r="AG11" s="119"/>
      <c r="AH11" s="119"/>
      <c r="AI11" s="119"/>
      <c r="AJ11" s="119"/>
      <c r="AK11" s="94" t="s">
        <v>5</v>
      </c>
      <c r="AL11" s="95"/>
      <c r="AM11" s="95"/>
      <c r="AN11" s="96"/>
      <c r="AO11" s="94" t="s">
        <v>6</v>
      </c>
      <c r="AP11" s="95"/>
      <c r="AQ11" s="95"/>
      <c r="AR11" s="96"/>
      <c r="AS11" s="107" t="s">
        <v>7</v>
      </c>
      <c r="AT11" s="108"/>
      <c r="AU11" s="49"/>
    </row>
    <row r="12" spans="1:47" ht="46.5" customHeight="1" x14ac:dyDescent="0.2">
      <c r="D12" s="94" t="s">
        <v>9</v>
      </c>
      <c r="E12" s="96"/>
      <c r="F12" s="109" t="s">
        <v>10</v>
      </c>
      <c r="G12" s="111" t="s">
        <v>16292</v>
      </c>
      <c r="H12" s="112"/>
      <c r="I12" s="106" t="s">
        <v>11</v>
      </c>
      <c r="J12" s="106"/>
      <c r="K12" s="106" t="s">
        <v>12</v>
      </c>
      <c r="L12" s="106"/>
      <c r="M12" s="94" t="s">
        <v>13</v>
      </c>
      <c r="N12" s="96"/>
      <c r="O12" s="94" t="s">
        <v>14</v>
      </c>
      <c r="P12" s="96"/>
      <c r="Q12" s="106" t="s">
        <v>11</v>
      </c>
      <c r="R12" s="106"/>
      <c r="S12" s="106" t="s">
        <v>12</v>
      </c>
      <c r="T12" s="106"/>
      <c r="U12" s="94" t="s">
        <v>13</v>
      </c>
      <c r="V12" s="96"/>
      <c r="W12" s="94" t="s">
        <v>14</v>
      </c>
      <c r="X12" s="96"/>
      <c r="Y12" s="94" t="s">
        <v>15</v>
      </c>
      <c r="Z12" s="118"/>
      <c r="AA12" s="94" t="s">
        <v>16</v>
      </c>
      <c r="AB12" s="118"/>
      <c r="AC12" s="106" t="s">
        <v>17</v>
      </c>
      <c r="AD12" s="120" t="s">
        <v>11</v>
      </c>
      <c r="AE12" s="120" t="s">
        <v>18</v>
      </c>
      <c r="AF12" s="120" t="s">
        <v>13</v>
      </c>
      <c r="AG12" s="120" t="s">
        <v>14</v>
      </c>
      <c r="AH12" s="120" t="s">
        <v>15</v>
      </c>
      <c r="AI12" s="120" t="s">
        <v>16</v>
      </c>
      <c r="AJ12" s="120" t="s">
        <v>19</v>
      </c>
      <c r="AK12" s="106" t="s">
        <v>20</v>
      </c>
      <c r="AL12" s="106" t="s">
        <v>21</v>
      </c>
      <c r="AM12" s="120" t="s">
        <v>22</v>
      </c>
      <c r="AN12" s="120" t="s">
        <v>23</v>
      </c>
      <c r="AO12" s="106" t="s">
        <v>20</v>
      </c>
      <c r="AP12" s="106" t="s">
        <v>21</v>
      </c>
      <c r="AQ12" s="120" t="s">
        <v>22</v>
      </c>
      <c r="AR12" s="120" t="s">
        <v>23</v>
      </c>
      <c r="AS12" s="120" t="s">
        <v>24</v>
      </c>
      <c r="AT12" s="120" t="s">
        <v>25</v>
      </c>
    </row>
    <row r="13" spans="1:47" ht="199.5" customHeight="1" x14ac:dyDescent="0.2">
      <c r="A13" s="32" t="s">
        <v>38</v>
      </c>
      <c r="D13" s="50" t="s">
        <v>26</v>
      </c>
      <c r="E13" s="51" t="s">
        <v>27</v>
      </c>
      <c r="F13" s="110"/>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6"/>
      <c r="AD13" s="121"/>
      <c r="AE13" s="121"/>
      <c r="AF13" s="121"/>
      <c r="AG13" s="121"/>
      <c r="AH13" s="122"/>
      <c r="AI13" s="121"/>
      <c r="AJ13" s="121"/>
      <c r="AK13" s="106"/>
      <c r="AL13" s="106"/>
      <c r="AM13" s="121"/>
      <c r="AN13" s="121"/>
      <c r="AO13" s="106"/>
      <c r="AP13" s="106"/>
      <c r="AQ13" s="121"/>
      <c r="AR13" s="121"/>
      <c r="AS13" s="123"/>
      <c r="AT13" s="123"/>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19759.699999999997</v>
      </c>
      <c r="J15" s="56">
        <f ca="1">SUM(INDIRECT("J16:J215"))</f>
        <v>16455.669999999998</v>
      </c>
      <c r="K15" s="56">
        <f ca="1">SUM(INDIRECT("K16:K215"))</f>
        <v>21443.739999999998</v>
      </c>
      <c r="L15" s="56">
        <f ca="1">SUM(INDIRECT("L16:L215"))</f>
        <v>24633.920000000002</v>
      </c>
      <c r="M15" s="56">
        <f ca="1">SUM(INDIRECT("M16:M215"))</f>
        <v>0</v>
      </c>
      <c r="N15" s="56">
        <f ca="1">SUM(INDIRECT("N16:N215"))</f>
        <v>0</v>
      </c>
      <c r="O15" s="56">
        <f ca="1">SUM(INDIRECT("O16:O215"))</f>
        <v>0</v>
      </c>
      <c r="P15" s="56">
        <f ca="1">SUM(INDIRECT("P16:P215"))</f>
        <v>0</v>
      </c>
      <c r="Q15" s="56">
        <f ca="1">SUM(INDIRECT("Q16:Q215"))</f>
        <v>8562.0199999999986</v>
      </c>
      <c r="R15" s="56">
        <f ca="1">SUM(INDIRECT("R16:R215"))</f>
        <v>6434.37</v>
      </c>
      <c r="S15" s="56">
        <f ca="1">SUM(INDIRECT("S16:S215"))</f>
        <v>8531.33</v>
      </c>
      <c r="T15" s="56">
        <f ca="1">SUM(INDIRECT("T16:T215"))</f>
        <v>14814.859999999999</v>
      </c>
      <c r="U15" s="56">
        <f ca="1">SUM(INDIRECT("U16:U215"))</f>
        <v>0</v>
      </c>
      <c r="V15" s="56">
        <f ca="1">SUM(INDIRECT("V16:V215"))</f>
        <v>0</v>
      </c>
      <c r="W15" s="56">
        <f ca="1">SUM(INDIRECT("W16:W215"))</f>
        <v>0</v>
      </c>
      <c r="X15" s="56">
        <f ca="1">SUM(INDIRECT("X16:X215"))</f>
        <v>0</v>
      </c>
      <c r="Y15" s="56">
        <f ca="1">SUM(INDIRECT("Y16:Y215"))</f>
        <v>4828.25</v>
      </c>
      <c r="Z15" s="56">
        <f ca="1">SUM(INDIRECT("Z16:Z215"))</f>
        <v>1291</v>
      </c>
      <c r="AA15" s="56">
        <f ca="1">SUM(INDIRECT("AA16:AA215"))</f>
        <v>922</v>
      </c>
      <c r="AB15" s="56">
        <f ca="1">SUM(INDIRECT("AB16:AB215"))</f>
        <v>534.06999999999994</v>
      </c>
      <c r="AC15" s="56">
        <f ca="1">SUM(INDIRECT("AC16:AC215"))</f>
        <v>5665</v>
      </c>
      <c r="AD15" s="28">
        <f t="shared" ref="AD15" ca="1" si="0">IFERROR(IF(INDIRECT("$AC" &amp;ROW()) ="","",SUM(INDIRECT("J" &amp;ROW()),INDIRECT("R" &amp; ROW()))/INDIRECT("$AC" &amp;ROW())),"-")</f>
        <v>4.0406072374227708</v>
      </c>
      <c r="AE15" s="28">
        <f t="shared" ref="AE15" ca="1" si="1">IFERROR(IF(INDIRECT("$AC"&amp;ROW())="","",SUM(INDIRECT("L"&amp;ROW()),INDIRECT("T"&amp;ROW()))/INDIRECT("$AC"&amp;ROW())),"-")</f>
        <v>6.9635975286849074</v>
      </c>
      <c r="AF15" s="28">
        <f t="shared" ref="AF15" ca="1" si="2">IFERROR(IF(INDIRECT("$AC" &amp;ROW())="","",SUM(INDIRECT("N" &amp;ROW()),INDIRECT("V" &amp;ROW()))/INDIRECT("$AC" &amp;ROW())),"-")</f>
        <v>0</v>
      </c>
      <c r="AG15" s="28">
        <f t="shared" ref="AG15" ca="1" si="3">IFERROR(IF(INDIRECT("$AC" &amp;ROW())="","",SUM(INDIRECT("P" &amp;ROW()),INDIRECT("X" &amp;ROW()))/INDIRECT("$AC" &amp;ROW())),"-")</f>
        <v>0</v>
      </c>
      <c r="AH15" s="28">
        <f ca="1">IFERROR(IF(INDIRECT("$AC" &amp;ROW())="","",INDIRECT("Z" &amp;ROW())/INDIRECT("$AC" &amp;ROW())),"-")</f>
        <v>0.22789055604589586</v>
      </c>
      <c r="AI15" s="28">
        <f ca="1">IFERROR(IF(INDIRECT("$AC" &amp;ROW())="","",INDIRECT("AB" &amp;ROW())/INDIRECT("$AC" &amp;ROW())),"-")</f>
        <v>9.4275375110326562E-2</v>
      </c>
      <c r="AJ15" s="28">
        <f ca="1">IFERROR(IF(AC15="","",SUM(J15,L15,N15,P15,R15,T15,V15,X15,Z15,AB15)/AC15),"-")</f>
        <v>11.326370697263901</v>
      </c>
      <c r="AK15" s="30">
        <f ca="1">IFERROR(IF(INDIRECT("I" &amp;ROW())="","",INDIRECT("J" &amp;ROW())/INDIRECT("I" &amp;ROW())),"-")</f>
        <v>0.83278946542710675</v>
      </c>
      <c r="AL15" s="30">
        <f ca="1">IFERROR(IF(INDIRECT("K" &amp;ROW())="","",INDIRECT("L" &amp;ROW())/INDIRECT("K" &amp;ROW())),"-")</f>
        <v>1.1487697575143143</v>
      </c>
      <c r="AM15" s="31" t="str">
        <f t="shared" ref="AM15" ca="1" si="4">IFERROR(IF(INDIRECT("M" &amp;ROW())="","",INDIRECT("N" &amp;ROW())/INDIRECT("M" &amp;ROW())),"-")</f>
        <v>-</v>
      </c>
      <c r="AN15" s="31" t="str">
        <f t="shared" ref="AN15" ca="1" si="5">IFERROR(IF(INDIRECT("O" &amp;ROW())="","",INDIRECT("P" &amp;ROW())/INDIRECT("O" &amp;ROW())),"-")</f>
        <v>-</v>
      </c>
      <c r="AO15" s="31">
        <f t="shared" ref="AO15" ca="1" si="6">IFERROR(IF(INDIRECT("Q" &amp;ROW())="","",INDIRECT("R" &amp;ROW())/INDIRECT("Q" &amp;ROW())),"-")</f>
        <v>0.75150139803457605</v>
      </c>
      <c r="AP15" s="31">
        <f t="shared" ref="AP15" ca="1" si="7">IFERROR(IF(INDIRECT("S" &amp;ROW())="","",INDIRECT("T" &amp;ROW())/INDIRECT("S" &amp;ROW())),"-")</f>
        <v>1.7365240824115347</v>
      </c>
      <c r="AQ15" s="31" t="str">
        <f t="shared" ref="AQ15" ca="1" si="8">IFERROR(IF(INDIRECT("U" &amp;ROW())="","",INDIRECT("V" &amp;ROW())/INDIRECT("U" &amp;ROW())),"-")</f>
        <v>-</v>
      </c>
      <c r="AR15" s="31" t="str">
        <f t="shared" ref="AR15" ca="1" si="9">IFERROR(IF(INDIRECT("W" &amp;ROW())="","",INDIRECT("X" &amp;ROW())/INDIRECT("W" &amp;ROW())),"-")</f>
        <v>-</v>
      </c>
      <c r="AS15" s="31">
        <f t="shared" ref="AS15" ca="1" si="10">IFERROR(IF(INDIRECT("Y" &amp;ROW())="","",INDIRECT("Z" &amp;ROW())/INDIRECT("Y" &amp;ROW())),"-")</f>
        <v>0.26738466318024129</v>
      </c>
      <c r="AT15" s="31">
        <f t="shared" ref="AT15" ca="1" si="11">IFERROR(IF(INDIRECT("AA" &amp;ROW())="","",INDIRECT("AB" &amp;ROW())/INDIRECT("AA" &amp;ROW())),"-")</f>
        <v>0.57925162689804766</v>
      </c>
    </row>
    <row r="16" spans="1:47" ht="30" x14ac:dyDescent="0.2">
      <c r="A16" s="32" t="str" cm="1">
        <f t="array" aca="1" ref="A16" ca="1">INDIRECT("D" &amp; ROW())&amp;INDIRECT("F" &amp; ROW())</f>
        <v>RXMT4AUDREY HOUSE RESIDENTIAL REHABILITATION</v>
      </c>
      <c r="D16" s="58" t="str" cm="1">
        <f t="array" aca="1" ref="D16" ca="1">IFERROR(VLOOKUP($E$5&amp;INDIRECT("E" &amp; ROW()),Sites,4,FALSE),"")</f>
        <v>RXMT4</v>
      </c>
      <c r="E16" s="85" t="s">
        <v>801</v>
      </c>
      <c r="F16" s="1" t="s">
        <v>11101</v>
      </c>
      <c r="G16" s="88" t="s">
        <v>16129</v>
      </c>
      <c r="H16" s="59"/>
      <c r="I16" s="3">
        <v>30</v>
      </c>
      <c r="J16" s="3">
        <v>0</v>
      </c>
      <c r="K16" s="3">
        <v>15</v>
      </c>
      <c r="L16" s="3">
        <v>0</v>
      </c>
      <c r="M16" s="3"/>
      <c r="N16" s="3"/>
      <c r="O16" s="3"/>
      <c r="P16" s="3"/>
      <c r="Q16" s="3">
        <v>21</v>
      </c>
      <c r="R16" s="3">
        <v>0</v>
      </c>
      <c r="S16" s="3">
        <v>0</v>
      </c>
      <c r="T16" s="3">
        <v>0</v>
      </c>
      <c r="U16" s="3"/>
      <c r="V16" s="3"/>
      <c r="W16" s="3"/>
      <c r="X16" s="3"/>
      <c r="Y16" s="3">
        <v>0</v>
      </c>
      <c r="Z16" s="3">
        <v>0</v>
      </c>
      <c r="AA16" s="3">
        <v>0</v>
      </c>
      <c r="AB16" s="3">
        <v>0</v>
      </c>
      <c r="AC16" s="3">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9">
        <f ca="1">IF(A16="","",IFERROR(VLOOKUP(A16,A16:AC216,10,0)/VLOOKUP(A16,A16:AC216,9,0),"-"))</f>
        <v>0</v>
      </c>
      <c r="AL16" s="29">
        <f ca="1">IF(A16="","",IFERROR(VLOOKUP(A16,A16:AC216,12,0)/VLOOKUP(A16,A16:AC216,11,0),"-"))</f>
        <v>0</v>
      </c>
      <c r="AM16" s="29" t="str">
        <f ca="1">IF(A16="","",IFERROR(VLOOKUP(A16,A16:AC216,14,0)/VLOOKUP(A16,A16:AC216,13,0),"-"))</f>
        <v>-</v>
      </c>
      <c r="AN16" s="29" t="str">
        <f ca="1">IF(A16="","",IFERROR(VLOOKUP(A16,A16:AC216,16,0)/VLOOKUP(A16,A16:AC216,15,0),"-"))</f>
        <v>-</v>
      </c>
      <c r="AO16" s="29">
        <f ca="1">IF(A16="","",IFERROR(VLOOKUP(A16,A16:AC216,18,0)/VLOOKUP(A16,A16:AC216,17,0),"-"))</f>
        <v>0</v>
      </c>
      <c r="AP16" s="29" t="str">
        <f ca="1">IF(A16="","",IFERROR(VLOOKUP(A16,A16:AC216,20,0)/VLOOKUP(A16,A16:AC216,19,0),"-"))</f>
        <v>-</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
      <c r="A17" s="32" t="str" cm="1">
        <f t="array" aca="1" ref="A17" ca="1">INDIRECT("D" &amp; ROW())&amp;INDIRECT("F" &amp; ROW())</f>
        <v>RXMT4CHILD BEARING INPATIENT</v>
      </c>
      <c r="D17" s="58" t="str" cm="1">
        <f t="array" aca="1" ref="D17" ca="1">IFERROR(VLOOKUP($E$5&amp;INDIRECT("E" &amp; ROW()),Sites,4,FALSE),"")</f>
        <v>RXMT4</v>
      </c>
      <c r="E17" s="85" t="s">
        <v>801</v>
      </c>
      <c r="F17" s="27" t="s">
        <v>11102</v>
      </c>
      <c r="G17" s="2" t="s">
        <v>16225</v>
      </c>
      <c r="H17" s="60"/>
      <c r="I17" s="1">
        <v>920</v>
      </c>
      <c r="J17" s="1">
        <v>588.14</v>
      </c>
      <c r="K17" s="1">
        <v>929</v>
      </c>
      <c r="L17" s="1">
        <v>881.3</v>
      </c>
      <c r="M17" s="1"/>
      <c r="N17" s="1"/>
      <c r="O17" s="1"/>
      <c r="P17" s="1"/>
      <c r="Q17" s="5">
        <v>325.5</v>
      </c>
      <c r="R17" s="5">
        <v>315</v>
      </c>
      <c r="S17" s="6">
        <v>325.5</v>
      </c>
      <c r="T17" s="5">
        <v>252.42</v>
      </c>
      <c r="U17" s="5"/>
      <c r="V17" s="6"/>
      <c r="W17" s="6"/>
      <c r="X17" s="6"/>
      <c r="Y17" s="6">
        <v>0</v>
      </c>
      <c r="Z17" s="6">
        <v>0</v>
      </c>
      <c r="AA17" s="6">
        <v>0</v>
      </c>
      <c r="AB17" s="6">
        <v>200.82</v>
      </c>
      <c r="AC17" s="6">
        <v>87</v>
      </c>
      <c r="AD17" s="4">
        <f t="shared" ref="AD17:AD80" ca="1" si="12">IF(A17="","",IFERROR((VLOOKUP(A17,A17:AC217,10,0)+VLOOKUP(A17,A17:AC217,18,0))/VLOOKUP(A17,A17:AC217,29,0),"-"))</f>
        <v>10.380919540229884</v>
      </c>
      <c r="AE17" s="4">
        <f t="shared" ref="AE17:AE80" ca="1" si="13">IF(A17="","",IFERROR((VLOOKUP(A17,A17:AC217,12,0)+VLOOKUP(A17,A17:AC217,20,0))/VLOOKUP(A17,A17:AC217,29,0),"-"))</f>
        <v>13.031264367816092</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2.3082758620689656</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25.720459770114946</v>
      </c>
      <c r="AK17" s="29">
        <f t="shared" ref="AK17:AK80" ca="1" si="19">IF(A17="","",IFERROR(VLOOKUP(A17,A17:AC217,10,0)/VLOOKUP(A17,A17:AC217,9,0),"-"))</f>
        <v>0.63928260869565212</v>
      </c>
      <c r="AL17" s="29">
        <f t="shared" ref="AL17:AL80" ca="1" si="20">IF(A17="","",IFERROR(VLOOKUP(A17,A17:AC217,12,0)/VLOOKUP(A17,A17:AC217,11,0),"-"))</f>
        <v>0.94865446716899893</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0.967741935483871</v>
      </c>
      <c r="AP17" s="29">
        <f t="shared" ref="AP17:AP80" ca="1" si="24">IF(A17="","",IFERROR(VLOOKUP(A17,A17:AC217,20,0)/VLOOKUP(A17,A17:AC217,19,0),"-"))</f>
        <v>0.77548387096774185</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
      <c r="A18" s="32" t="str" cm="1">
        <f t="array" aca="1" ref="A18" ca="1">INDIRECT("D" &amp; ROW())&amp;INDIRECT("F" &amp; ROW())</f>
        <v>RXMT4CTC RESIDENTIAL REHABILITATION</v>
      </c>
      <c r="D18" s="58" t="str" cm="1">
        <f t="array" aca="1" ref="D18" ca="1">IFERROR(VLOOKUP($E$5&amp;INDIRECT("E" &amp; ROW()),Sites,4,FALSE),"")</f>
        <v>RXMT4</v>
      </c>
      <c r="E18" s="85" t="s">
        <v>801</v>
      </c>
      <c r="F18" s="27" t="s">
        <v>11103</v>
      </c>
      <c r="G18" s="2" t="s">
        <v>16129</v>
      </c>
      <c r="H18" s="60"/>
      <c r="I18" s="3">
        <v>936.78</v>
      </c>
      <c r="J18" s="5">
        <v>964.39</v>
      </c>
      <c r="K18" s="5">
        <v>1560</v>
      </c>
      <c r="L18" s="5">
        <v>1521.53</v>
      </c>
      <c r="M18" s="5"/>
      <c r="N18" s="5"/>
      <c r="O18" s="5"/>
      <c r="P18" s="5"/>
      <c r="Q18" s="5">
        <v>658.75</v>
      </c>
      <c r="R18" s="5">
        <v>417.25</v>
      </c>
      <c r="S18" s="6">
        <v>325.5</v>
      </c>
      <c r="T18" s="5">
        <v>766.5</v>
      </c>
      <c r="U18" s="5"/>
      <c r="V18" s="6"/>
      <c r="W18" s="6"/>
      <c r="X18" s="6"/>
      <c r="Y18" s="6">
        <v>0</v>
      </c>
      <c r="Z18" s="6">
        <v>0</v>
      </c>
      <c r="AA18" s="6">
        <v>0</v>
      </c>
      <c r="AB18" s="6">
        <v>0</v>
      </c>
      <c r="AC18" s="6">
        <v>728</v>
      </c>
      <c r="AD18" s="4">
        <f t="shared" ca="1" si="12"/>
        <v>1.8978571428571427</v>
      </c>
      <c r="AE18" s="4">
        <f t="shared" ca="1" si="13"/>
        <v>3.1428983516483515</v>
      </c>
      <c r="AF18" s="4">
        <f t="shared" ca="1" si="14"/>
        <v>0</v>
      </c>
      <c r="AG18" s="4">
        <f t="shared" ca="1" si="15"/>
        <v>0</v>
      </c>
      <c r="AH18" s="4">
        <f t="shared" ca="1" si="16"/>
        <v>0</v>
      </c>
      <c r="AI18" s="4">
        <f t="shared" ca="1" si="17"/>
        <v>0</v>
      </c>
      <c r="AJ18" s="4">
        <f t="shared" ca="1" si="18"/>
        <v>5.0407554945054942</v>
      </c>
      <c r="AK18" s="29">
        <f t="shared" ca="1" si="19"/>
        <v>1.0294733021627276</v>
      </c>
      <c r="AL18" s="29">
        <f t="shared" ca="1" si="20"/>
        <v>0.97533974358974362</v>
      </c>
      <c r="AM18" s="29" t="str">
        <f t="shared" ca="1" si="21"/>
        <v>-</v>
      </c>
      <c r="AN18" s="29" t="str">
        <f t="shared" ca="1" si="22"/>
        <v>-</v>
      </c>
      <c r="AO18" s="29">
        <f t="shared" ca="1" si="23"/>
        <v>0.63339658444022773</v>
      </c>
      <c r="AP18" s="29">
        <f t="shared" ca="1" si="24"/>
        <v>2.3548387096774195</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RXM54ENHANCED CARE WARD</v>
      </c>
      <c r="D19" s="58" t="str" cm="1">
        <f t="array" aca="1" ref="D19" ca="1">IFERROR(VLOOKUP($E$5&amp;INDIRECT("E" &amp; ROW()),Sites,4,FALSE),"")</f>
        <v>RXM54</v>
      </c>
      <c r="E19" s="85" t="s">
        <v>8206</v>
      </c>
      <c r="F19" s="27" t="s">
        <v>11109</v>
      </c>
      <c r="G19" s="2" t="s">
        <v>16225</v>
      </c>
      <c r="H19" s="60"/>
      <c r="I19" s="3">
        <v>1351</v>
      </c>
      <c r="J19" s="5">
        <v>1170</v>
      </c>
      <c r="K19" s="5">
        <v>1393.5</v>
      </c>
      <c r="L19" s="5">
        <v>2027.5</v>
      </c>
      <c r="M19" s="5"/>
      <c r="N19" s="5"/>
      <c r="O19" s="5"/>
      <c r="P19" s="5"/>
      <c r="Q19" s="5">
        <v>651</v>
      </c>
      <c r="R19" s="5">
        <v>505</v>
      </c>
      <c r="S19" s="6">
        <v>651</v>
      </c>
      <c r="T19" s="5">
        <v>1648.5</v>
      </c>
      <c r="U19" s="5"/>
      <c r="V19" s="6"/>
      <c r="W19" s="6"/>
      <c r="X19" s="6"/>
      <c r="Y19" s="6">
        <v>157.5</v>
      </c>
      <c r="Z19" s="6">
        <v>120</v>
      </c>
      <c r="AA19" s="6">
        <v>465</v>
      </c>
      <c r="AB19" s="6">
        <v>112.5</v>
      </c>
      <c r="AC19" s="6">
        <v>280</v>
      </c>
      <c r="AD19" s="4">
        <f t="shared" ca="1" si="12"/>
        <v>5.9821428571428568</v>
      </c>
      <c r="AE19" s="4">
        <f t="shared" ca="1" si="13"/>
        <v>13.128571428571428</v>
      </c>
      <c r="AF19" s="4">
        <f t="shared" ca="1" si="14"/>
        <v>0</v>
      </c>
      <c r="AG19" s="4">
        <f t="shared" ca="1" si="15"/>
        <v>0</v>
      </c>
      <c r="AH19" s="4">
        <f t="shared" ca="1" si="16"/>
        <v>0.42857142857142855</v>
      </c>
      <c r="AI19" s="4">
        <f t="shared" ca="1" si="17"/>
        <v>0.4017857142857143</v>
      </c>
      <c r="AJ19" s="4">
        <f t="shared" ca="1" si="18"/>
        <v>19.94107142857143</v>
      </c>
      <c r="AK19" s="29">
        <f t="shared" ca="1" si="19"/>
        <v>0.86602516654330131</v>
      </c>
      <c r="AL19" s="29">
        <f t="shared" ca="1" si="20"/>
        <v>1.4549695012558306</v>
      </c>
      <c r="AM19" s="29" t="str">
        <f t="shared" ca="1" si="21"/>
        <v>-</v>
      </c>
      <c r="AN19" s="29" t="str">
        <f t="shared" ca="1" si="22"/>
        <v>-</v>
      </c>
      <c r="AO19" s="29">
        <f t="shared" ca="1" si="23"/>
        <v>0.77572964669738864</v>
      </c>
      <c r="AP19" s="29">
        <f t="shared" ca="1" si="24"/>
        <v>2.532258064516129</v>
      </c>
      <c r="AQ19" s="29" t="str">
        <f t="shared" ca="1" si="25"/>
        <v>-</v>
      </c>
      <c r="AR19" s="29" t="str">
        <f t="shared" ca="1" si="26"/>
        <v>-</v>
      </c>
      <c r="AS19" s="29">
        <f t="shared" ca="1" si="27"/>
        <v>0.76190476190476186</v>
      </c>
      <c r="AT19" s="29">
        <f t="shared" ca="1" si="28"/>
        <v>0.24193548387096775</v>
      </c>
    </row>
    <row r="20" spans="1:46" ht="30" x14ac:dyDescent="0.2">
      <c r="A20" s="32" t="str" cm="1">
        <f t="array" aca="1" ref="A20" ca="1">INDIRECT("D" &amp; ROW())&amp;INDIRECT("F" &amp; ROW())</f>
        <v>RXM70HARTINGTON UNIT - MORTON WARD ADULT</v>
      </c>
      <c r="D20" s="58" t="str" cm="1">
        <f t="array" aca="1" ref="D20" ca="1">IFERROR(VLOOKUP($E$5&amp;INDIRECT("E" &amp; ROW()),Sites,4,FALSE),"")</f>
        <v>RXM70</v>
      </c>
      <c r="E20" s="85" t="s">
        <v>8196</v>
      </c>
      <c r="F20" s="27" t="s">
        <v>11107</v>
      </c>
      <c r="G20" s="2" t="s">
        <v>16225</v>
      </c>
      <c r="H20" s="60"/>
      <c r="I20" s="3">
        <v>1378.5</v>
      </c>
      <c r="J20" s="5">
        <v>1251.82</v>
      </c>
      <c r="K20" s="5">
        <v>1400.25</v>
      </c>
      <c r="L20" s="5">
        <v>2104.75</v>
      </c>
      <c r="M20" s="5"/>
      <c r="N20" s="5"/>
      <c r="O20" s="5"/>
      <c r="P20" s="5"/>
      <c r="Q20" s="5">
        <v>573.5</v>
      </c>
      <c r="R20" s="5">
        <v>301.57</v>
      </c>
      <c r="S20" s="6">
        <v>573.5</v>
      </c>
      <c r="T20" s="5">
        <v>1161.6199999999999</v>
      </c>
      <c r="U20" s="5"/>
      <c r="V20" s="6"/>
      <c r="W20" s="6"/>
      <c r="X20" s="6"/>
      <c r="Y20" s="6">
        <v>475.25</v>
      </c>
      <c r="Z20" s="6">
        <v>276.25</v>
      </c>
      <c r="AA20" s="6">
        <v>0</v>
      </c>
      <c r="AB20" s="6">
        <v>0</v>
      </c>
      <c r="AC20" s="6">
        <v>548</v>
      </c>
      <c r="AD20" s="4">
        <f t="shared" ca="1" si="12"/>
        <v>2.8346532846715324</v>
      </c>
      <c r="AE20" s="4">
        <f t="shared" ca="1" si="13"/>
        <v>5.9605291970802918</v>
      </c>
      <c r="AF20" s="4">
        <f t="shared" ca="1" si="14"/>
        <v>0</v>
      </c>
      <c r="AG20" s="4">
        <f t="shared" ca="1" si="15"/>
        <v>0</v>
      </c>
      <c r="AH20" s="4">
        <f t="shared" ca="1" si="16"/>
        <v>0.50410583941605835</v>
      </c>
      <c r="AI20" s="4">
        <f t="shared" ca="1" si="17"/>
        <v>0</v>
      </c>
      <c r="AJ20" s="4">
        <f t="shared" ca="1" si="18"/>
        <v>9.2992883211678841</v>
      </c>
      <c r="AK20" s="29">
        <f t="shared" ca="1" si="19"/>
        <v>0.9081030105186797</v>
      </c>
      <c r="AL20" s="29">
        <f t="shared" ca="1" si="20"/>
        <v>1.5031244420639172</v>
      </c>
      <c r="AM20" s="29" t="str">
        <f t="shared" ca="1" si="21"/>
        <v>-</v>
      </c>
      <c r="AN20" s="29" t="str">
        <f t="shared" ca="1" si="22"/>
        <v>-</v>
      </c>
      <c r="AO20" s="29">
        <f t="shared" ca="1" si="23"/>
        <v>0.52584132519616389</v>
      </c>
      <c r="AP20" s="29">
        <f t="shared" ca="1" si="24"/>
        <v>2.0254925893635569</v>
      </c>
      <c r="AQ20" s="29" t="str">
        <f t="shared" ca="1" si="25"/>
        <v>-</v>
      </c>
      <c r="AR20" s="29" t="str">
        <f t="shared" ca="1" si="26"/>
        <v>-</v>
      </c>
      <c r="AS20" s="29">
        <f t="shared" ca="1" si="27"/>
        <v>0.581273014203051</v>
      </c>
      <c r="AT20" s="29" t="str">
        <f t="shared" ca="1" si="28"/>
        <v>-</v>
      </c>
    </row>
    <row r="21" spans="1:46" ht="45" x14ac:dyDescent="0.2">
      <c r="A21" s="32" t="str" cm="1">
        <f t="array" aca="1" ref="A21" ca="1">INDIRECT("D" &amp; ROW())&amp;INDIRECT("F" &amp; ROW())</f>
        <v>RXM71HARTINGTON UNIT - PLEASLEY WARD ADULT</v>
      </c>
      <c r="D21" s="58" t="str" cm="1">
        <f t="array" aca="1" ref="D21" ca="1">IFERROR(VLOOKUP($E$5&amp;INDIRECT("E" &amp; ROW()),Sites,4,FALSE),"")</f>
        <v>RXM71</v>
      </c>
      <c r="E21" s="85" t="s">
        <v>8202</v>
      </c>
      <c r="F21" s="27" t="s">
        <v>11108</v>
      </c>
      <c r="G21" s="2" t="s">
        <v>16225</v>
      </c>
      <c r="H21" s="84" t="s">
        <v>16237</v>
      </c>
      <c r="I21" s="3">
        <v>1535.5</v>
      </c>
      <c r="J21" s="5">
        <v>1147.75</v>
      </c>
      <c r="K21" s="5">
        <v>1409.25</v>
      </c>
      <c r="L21" s="5">
        <v>1387.57</v>
      </c>
      <c r="M21" s="5"/>
      <c r="N21" s="5"/>
      <c r="O21" s="5"/>
      <c r="P21" s="5"/>
      <c r="Q21" s="5">
        <v>573.5</v>
      </c>
      <c r="R21" s="5">
        <v>385.85</v>
      </c>
      <c r="S21" s="6">
        <v>573.5</v>
      </c>
      <c r="T21" s="5">
        <v>1028</v>
      </c>
      <c r="U21" s="5"/>
      <c r="V21" s="6"/>
      <c r="W21" s="6"/>
      <c r="X21" s="6"/>
      <c r="Y21" s="6">
        <v>465</v>
      </c>
      <c r="Z21" s="6">
        <v>186.5</v>
      </c>
      <c r="AA21" s="6">
        <v>0</v>
      </c>
      <c r="AB21" s="6">
        <v>0</v>
      </c>
      <c r="AC21" s="6">
        <v>395</v>
      </c>
      <c r="AD21" s="4">
        <f t="shared" ca="1" si="12"/>
        <v>3.8825316455696202</v>
      </c>
      <c r="AE21" s="4">
        <f t="shared" ca="1" si="13"/>
        <v>6.1153670886075941</v>
      </c>
      <c r="AF21" s="4">
        <f t="shared" ca="1" si="14"/>
        <v>0</v>
      </c>
      <c r="AG21" s="4">
        <f t="shared" ca="1" si="15"/>
        <v>0</v>
      </c>
      <c r="AH21" s="4">
        <f t="shared" ca="1" si="16"/>
        <v>0.47215189873417723</v>
      </c>
      <c r="AI21" s="4">
        <f t="shared" ca="1" si="17"/>
        <v>0</v>
      </c>
      <c r="AJ21" s="4">
        <f t="shared" ca="1" si="18"/>
        <v>10.470050632911393</v>
      </c>
      <c r="AK21" s="29">
        <f t="shared" ca="1" si="19"/>
        <v>0.74747639205470529</v>
      </c>
      <c r="AL21" s="29">
        <f t="shared" ca="1" si="20"/>
        <v>0.98461593045946416</v>
      </c>
      <c r="AM21" s="29" t="str">
        <f t="shared" ca="1" si="21"/>
        <v>-</v>
      </c>
      <c r="AN21" s="29" t="str">
        <f t="shared" ca="1" si="22"/>
        <v>-</v>
      </c>
      <c r="AO21" s="29">
        <f t="shared" ca="1" si="23"/>
        <v>0.67279860505666966</v>
      </c>
      <c r="AP21" s="29">
        <f t="shared" ca="1" si="24"/>
        <v>1.7925021795989537</v>
      </c>
      <c r="AQ21" s="29" t="str">
        <f t="shared" ca="1" si="25"/>
        <v>-</v>
      </c>
      <c r="AR21" s="29" t="str">
        <f t="shared" ca="1" si="26"/>
        <v>-</v>
      </c>
      <c r="AS21" s="29">
        <f t="shared" ca="1" si="27"/>
        <v>0.40107526881720429</v>
      </c>
      <c r="AT21" s="29" t="str">
        <f t="shared" ca="1" si="28"/>
        <v>-</v>
      </c>
    </row>
    <row r="22" spans="1:46" ht="30" x14ac:dyDescent="0.2">
      <c r="A22" s="32" t="str" cm="1">
        <f t="array" aca="1" ref="A22" ca="1">INDIRECT("D" &amp; ROW())&amp;INDIRECT("F" &amp; ROW())</f>
        <v>RXM76HARTINGTON UNIT - TANSLEY WARD ADULT</v>
      </c>
      <c r="D22" s="58" t="str" cm="1">
        <f t="array" aca="1" ref="D22" ca="1">IFERROR(VLOOKUP($E$5&amp;INDIRECT("E" &amp; ROW()),Sites,4,FALSE),"")</f>
        <v>RXM76</v>
      </c>
      <c r="E22" s="86" t="s">
        <v>8212</v>
      </c>
      <c r="F22" s="27" t="s">
        <v>11110</v>
      </c>
      <c r="G22" s="2" t="s">
        <v>16225</v>
      </c>
      <c r="H22" s="60"/>
      <c r="I22" s="3">
        <v>1571.75</v>
      </c>
      <c r="J22" s="5">
        <v>1141.6400000000001</v>
      </c>
      <c r="K22" s="5">
        <v>1418.25</v>
      </c>
      <c r="L22" s="5">
        <v>1818.73</v>
      </c>
      <c r="M22" s="5"/>
      <c r="N22" s="5"/>
      <c r="O22" s="5"/>
      <c r="P22" s="5"/>
      <c r="Q22" s="5">
        <v>582.08000000000004</v>
      </c>
      <c r="R22" s="5">
        <v>438.44</v>
      </c>
      <c r="S22" s="6">
        <v>582.08000000000004</v>
      </c>
      <c r="T22" s="5">
        <v>1049.3</v>
      </c>
      <c r="U22" s="5"/>
      <c r="V22" s="6"/>
      <c r="W22" s="6"/>
      <c r="X22" s="6"/>
      <c r="Y22" s="6">
        <v>945.5</v>
      </c>
      <c r="Z22" s="6">
        <v>0</v>
      </c>
      <c r="AA22" s="6">
        <v>0</v>
      </c>
      <c r="AB22" s="6">
        <v>0</v>
      </c>
      <c r="AC22" s="6">
        <v>498</v>
      </c>
      <c r="AD22" s="4">
        <f t="shared" ca="1" si="12"/>
        <v>3.1728514056224904</v>
      </c>
      <c r="AE22" s="4">
        <f t="shared" ca="1" si="13"/>
        <v>5.7590963855421684</v>
      </c>
      <c r="AF22" s="4">
        <f t="shared" ca="1" si="14"/>
        <v>0</v>
      </c>
      <c r="AG22" s="4">
        <f t="shared" ca="1" si="15"/>
        <v>0</v>
      </c>
      <c r="AH22" s="4">
        <f t="shared" ca="1" si="16"/>
        <v>0</v>
      </c>
      <c r="AI22" s="4">
        <f t="shared" ca="1" si="17"/>
        <v>0</v>
      </c>
      <c r="AJ22" s="4">
        <f t="shared" ca="1" si="18"/>
        <v>8.9319477911646583</v>
      </c>
      <c r="AK22" s="29">
        <f t="shared" ca="1" si="19"/>
        <v>0.72634961030698275</v>
      </c>
      <c r="AL22" s="29">
        <f t="shared" ca="1" si="20"/>
        <v>1.282376167812445</v>
      </c>
      <c r="AM22" s="29" t="str">
        <f t="shared" ca="1" si="21"/>
        <v>-</v>
      </c>
      <c r="AN22" s="29" t="str">
        <f t="shared" ca="1" si="22"/>
        <v>-</v>
      </c>
      <c r="AO22" s="29">
        <f t="shared" ca="1" si="23"/>
        <v>0.75322979659153377</v>
      </c>
      <c r="AP22" s="29">
        <f t="shared" ca="1" si="24"/>
        <v>1.8026731720725671</v>
      </c>
      <c r="AQ22" s="29" t="str">
        <f t="shared" ca="1" si="25"/>
        <v>-</v>
      </c>
      <c r="AR22" s="29" t="str">
        <f t="shared" ca="1" si="26"/>
        <v>-</v>
      </c>
      <c r="AS22" s="29">
        <f t="shared" ca="1" si="27"/>
        <v>0</v>
      </c>
      <c r="AT22" s="29" t="str">
        <f t="shared" ca="1" si="28"/>
        <v>-</v>
      </c>
    </row>
    <row r="23" spans="1:46" ht="45" x14ac:dyDescent="0.2">
      <c r="A23" s="32" t="str" cm="1">
        <f t="array" aca="1" ref="A23" ca="1">INDIRECT("D" &amp; ROW())&amp;INDIRECT("F" &amp; ROW())</f>
        <v>RXM30KEDLESTON LOW SECURE UNIT</v>
      </c>
      <c r="D23" s="58" t="str" cm="1">
        <f t="array" aca="1" ref="D23" ca="1">IFERROR(VLOOKUP($E$5&amp;INDIRECT("E" &amp; ROW()),Sites,4,FALSE),"")</f>
        <v>RXM30</v>
      </c>
      <c r="E23" s="86" t="s">
        <v>8188</v>
      </c>
      <c r="F23" s="27" t="s">
        <v>11106</v>
      </c>
      <c r="G23" s="2" t="s">
        <v>16231</v>
      </c>
      <c r="H23" s="60"/>
      <c r="I23" s="3">
        <v>1904.34</v>
      </c>
      <c r="J23" s="5">
        <v>1862.26</v>
      </c>
      <c r="K23" s="5">
        <v>2314</v>
      </c>
      <c r="L23" s="5">
        <v>1873.57</v>
      </c>
      <c r="M23" s="5"/>
      <c r="N23" s="5"/>
      <c r="O23" s="5"/>
      <c r="P23" s="5"/>
      <c r="Q23" s="5">
        <v>635.5</v>
      </c>
      <c r="R23" s="5">
        <v>646.75</v>
      </c>
      <c r="S23" s="6">
        <v>1271</v>
      </c>
      <c r="T23" s="5">
        <v>1281.25</v>
      </c>
      <c r="U23" s="5"/>
      <c r="V23" s="6"/>
      <c r="W23" s="6"/>
      <c r="X23" s="6"/>
      <c r="Y23" s="6">
        <v>0</v>
      </c>
      <c r="Z23" s="6">
        <v>0</v>
      </c>
      <c r="AA23" s="6">
        <v>224.5</v>
      </c>
      <c r="AB23" s="6">
        <v>90</v>
      </c>
      <c r="AC23" s="6">
        <v>496</v>
      </c>
      <c r="AD23" s="4">
        <f t="shared" ca="1" si="12"/>
        <v>5.0584879032258065</v>
      </c>
      <c r="AE23" s="4">
        <f t="shared" ca="1" si="13"/>
        <v>6.3605241935483869</v>
      </c>
      <c r="AF23" s="4">
        <f t="shared" ca="1" si="14"/>
        <v>0</v>
      </c>
      <c r="AG23" s="4">
        <f t="shared" ca="1" si="15"/>
        <v>0</v>
      </c>
      <c r="AH23" s="4">
        <f t="shared" ca="1" si="16"/>
        <v>0</v>
      </c>
      <c r="AI23" s="4">
        <f t="shared" ca="1" si="17"/>
        <v>0.18145161290322581</v>
      </c>
      <c r="AJ23" s="4">
        <f t="shared" ca="1" si="18"/>
        <v>11.600463709677419</v>
      </c>
      <c r="AK23" s="29">
        <f t="shared" ca="1" si="19"/>
        <v>0.97790310553787663</v>
      </c>
      <c r="AL23" s="29">
        <f t="shared" ca="1" si="20"/>
        <v>0.80966724286948999</v>
      </c>
      <c r="AM23" s="29" t="str">
        <f t="shared" ca="1" si="21"/>
        <v>-</v>
      </c>
      <c r="AN23" s="29" t="str">
        <f t="shared" ca="1" si="22"/>
        <v>-</v>
      </c>
      <c r="AO23" s="29">
        <f t="shared" ca="1" si="23"/>
        <v>1.0177025963808026</v>
      </c>
      <c r="AP23" s="29">
        <f t="shared" ca="1" si="24"/>
        <v>1.0080645161290323</v>
      </c>
      <c r="AQ23" s="29" t="str">
        <f t="shared" ca="1" si="25"/>
        <v>-</v>
      </c>
      <c r="AR23" s="29" t="str">
        <f t="shared" ca="1" si="26"/>
        <v>-</v>
      </c>
      <c r="AS23" s="29" t="str">
        <f t="shared" ca="1" si="27"/>
        <v>-</v>
      </c>
      <c r="AT23" s="29">
        <f t="shared" ca="1" si="28"/>
        <v>0.40089086859688194</v>
      </c>
    </row>
    <row r="24" spans="1:46" ht="30" x14ac:dyDescent="0.2">
      <c r="A24" s="32" t="str" cm="1">
        <f t="array" aca="1" ref="A24" ca="1">INDIRECT("D" &amp; ROW())&amp;INDIRECT("F" &amp; ROW())</f>
        <v>RXMT4KINGSWAY CUBLEY COURT - FEMALE</v>
      </c>
      <c r="D24" s="58" t="str" cm="1">
        <f t="array" aca="1" ref="D24" ca="1">IFERROR(VLOOKUP($E$5&amp;INDIRECT("E" &amp; ROW()),Sites,4,FALSE),"")</f>
        <v>RXMT4</v>
      </c>
      <c r="E24" s="86" t="s">
        <v>801</v>
      </c>
      <c r="F24" s="27" t="s">
        <v>11104</v>
      </c>
      <c r="G24" s="2" t="s">
        <v>16237</v>
      </c>
      <c r="H24" s="60"/>
      <c r="I24" s="3">
        <v>1390.67</v>
      </c>
      <c r="J24" s="5">
        <v>1047.4000000000001</v>
      </c>
      <c r="K24" s="5">
        <v>1941.67</v>
      </c>
      <c r="L24" s="5">
        <v>2259.69</v>
      </c>
      <c r="M24" s="5"/>
      <c r="N24" s="5"/>
      <c r="O24" s="5"/>
      <c r="P24" s="5"/>
      <c r="Q24" s="5">
        <v>645.73</v>
      </c>
      <c r="R24" s="5">
        <v>431.12</v>
      </c>
      <c r="S24" s="6">
        <v>1291.77</v>
      </c>
      <c r="T24" s="5">
        <v>1411.77</v>
      </c>
      <c r="U24" s="5"/>
      <c r="V24" s="6"/>
      <c r="W24" s="6"/>
      <c r="X24" s="6"/>
      <c r="Y24" s="6">
        <v>465</v>
      </c>
      <c r="Z24" s="6">
        <v>0</v>
      </c>
      <c r="AA24" s="6">
        <v>0</v>
      </c>
      <c r="AB24" s="6">
        <v>0</v>
      </c>
      <c r="AC24" s="6">
        <v>250</v>
      </c>
      <c r="AD24" s="4">
        <f t="shared" ca="1" si="12"/>
        <v>5.9140800000000002</v>
      </c>
      <c r="AE24" s="4">
        <f t="shared" ca="1" si="13"/>
        <v>14.685840000000001</v>
      </c>
      <c r="AF24" s="4">
        <f t="shared" ca="1" si="14"/>
        <v>0</v>
      </c>
      <c r="AG24" s="4">
        <f t="shared" ca="1" si="15"/>
        <v>0</v>
      </c>
      <c r="AH24" s="4">
        <f t="shared" ca="1" si="16"/>
        <v>0</v>
      </c>
      <c r="AI24" s="4">
        <f t="shared" ca="1" si="17"/>
        <v>0</v>
      </c>
      <c r="AJ24" s="4">
        <f t="shared" ca="1" si="18"/>
        <v>20.599919999999997</v>
      </c>
      <c r="AK24" s="29">
        <f t="shared" ca="1" si="19"/>
        <v>0.75316214486542465</v>
      </c>
      <c r="AL24" s="29">
        <f t="shared" ca="1" si="20"/>
        <v>1.1637868432843892</v>
      </c>
      <c r="AM24" s="29" t="str">
        <f t="shared" ca="1" si="21"/>
        <v>-</v>
      </c>
      <c r="AN24" s="29" t="str">
        <f t="shared" ca="1" si="22"/>
        <v>-</v>
      </c>
      <c r="AO24" s="29">
        <f t="shared" ca="1" si="23"/>
        <v>0.66764746875629133</v>
      </c>
      <c r="AP24" s="29">
        <f t="shared" ca="1" si="24"/>
        <v>1.0928957941429203</v>
      </c>
      <c r="AQ24" s="29" t="str">
        <f t="shared" ca="1" si="25"/>
        <v>-</v>
      </c>
      <c r="AR24" s="29" t="str">
        <f t="shared" ca="1" si="26"/>
        <v>-</v>
      </c>
      <c r="AS24" s="29">
        <f t="shared" ca="1" si="27"/>
        <v>0</v>
      </c>
      <c r="AT24" s="29" t="str">
        <f t="shared" ca="1" si="28"/>
        <v>-</v>
      </c>
    </row>
    <row r="25" spans="1:46" ht="30" x14ac:dyDescent="0.2">
      <c r="A25" s="32" t="str" cm="1">
        <f t="array" aca="1" ref="A25" ca="1">INDIRECT("D" &amp; ROW())&amp;INDIRECT("F" &amp; ROW())</f>
        <v>RXMT4KINGSWAY CUBLEY COURT - MALE</v>
      </c>
      <c r="D25" s="58" t="str" cm="1">
        <f t="array" aca="1" ref="D25" ca="1">IFERROR(VLOOKUP($E$5&amp;INDIRECT("E" &amp; ROW()),Sites,4,FALSE),"")</f>
        <v>RXMT4</v>
      </c>
      <c r="E25" s="86" t="s">
        <v>801</v>
      </c>
      <c r="F25" s="27" t="s">
        <v>11105</v>
      </c>
      <c r="G25" s="2" t="s">
        <v>16237</v>
      </c>
      <c r="H25" s="60"/>
      <c r="I25" s="3">
        <v>1608.33</v>
      </c>
      <c r="J25" s="5">
        <v>1136.31</v>
      </c>
      <c r="K25" s="5">
        <v>2553.8200000000002</v>
      </c>
      <c r="L25" s="5">
        <v>2924.32</v>
      </c>
      <c r="M25" s="5"/>
      <c r="N25" s="5"/>
      <c r="O25" s="5"/>
      <c r="P25" s="5"/>
      <c r="Q25" s="5">
        <v>645.73</v>
      </c>
      <c r="R25" s="5">
        <v>591.28</v>
      </c>
      <c r="S25" s="6">
        <v>968.75</v>
      </c>
      <c r="T25" s="5">
        <v>1314.46</v>
      </c>
      <c r="U25" s="5"/>
      <c r="V25" s="6"/>
      <c r="W25" s="6"/>
      <c r="X25" s="6"/>
      <c r="Y25" s="6">
        <v>465</v>
      </c>
      <c r="Z25" s="6">
        <v>165</v>
      </c>
      <c r="AA25" s="6">
        <v>0</v>
      </c>
      <c r="AB25" s="6">
        <v>0</v>
      </c>
      <c r="AC25" s="6">
        <v>164</v>
      </c>
      <c r="AD25" s="4">
        <f t="shared" ca="1" si="12"/>
        <v>10.534085365853658</v>
      </c>
      <c r="AE25" s="4">
        <f t="shared" ca="1" si="13"/>
        <v>25.846219512195127</v>
      </c>
      <c r="AF25" s="4">
        <f t="shared" ca="1" si="14"/>
        <v>0</v>
      </c>
      <c r="AG25" s="4">
        <f t="shared" ca="1" si="15"/>
        <v>0</v>
      </c>
      <c r="AH25" s="4">
        <f t="shared" ca="1" si="16"/>
        <v>1.0060975609756098</v>
      </c>
      <c r="AI25" s="4">
        <f t="shared" ca="1" si="17"/>
        <v>0</v>
      </c>
      <c r="AJ25" s="4">
        <f t="shared" ca="1" si="18"/>
        <v>37.386402439024387</v>
      </c>
      <c r="AK25" s="29">
        <f t="shared" ca="1" si="19"/>
        <v>0.70651545391803916</v>
      </c>
      <c r="AL25" s="29">
        <f t="shared" ca="1" si="20"/>
        <v>1.1450767869309504</v>
      </c>
      <c r="AM25" s="29" t="str">
        <f t="shared" ca="1" si="21"/>
        <v>-</v>
      </c>
      <c r="AN25" s="29" t="str">
        <f t="shared" ca="1" si="22"/>
        <v>-</v>
      </c>
      <c r="AO25" s="29">
        <f t="shared" ca="1" si="23"/>
        <v>0.91567683087358487</v>
      </c>
      <c r="AP25" s="29">
        <f t="shared" ca="1" si="24"/>
        <v>1.3568619354838709</v>
      </c>
      <c r="AQ25" s="29" t="str">
        <f t="shared" ca="1" si="25"/>
        <v>-</v>
      </c>
      <c r="AR25" s="29" t="str">
        <f t="shared" ca="1" si="26"/>
        <v>-</v>
      </c>
      <c r="AS25" s="29">
        <f t="shared" ca="1" si="27"/>
        <v>0.35483870967741937</v>
      </c>
      <c r="AT25" s="29" t="str">
        <f t="shared" ca="1" si="28"/>
        <v>-</v>
      </c>
    </row>
    <row r="26" spans="1:46" ht="30" x14ac:dyDescent="0.2">
      <c r="A26" s="32" t="str" cm="1">
        <f t="array" aca="1" ref="A26" ca="1">INDIRECT("D" &amp; ROW())&amp;INDIRECT("F" &amp; ROW())</f>
        <v>RXM63LONDON ROAD COMMUNITY HOSPITAL - WARD 1 OP</v>
      </c>
      <c r="D26" s="58" t="str" cm="1">
        <f t="array" aca="1" ref="D26" ca="1">IFERROR(VLOOKUP($E$5&amp;INDIRECT("E" &amp; ROW()),Sites,4,FALSE),"")</f>
        <v>RXM63</v>
      </c>
      <c r="E26" s="86" t="s">
        <v>8224</v>
      </c>
      <c r="F26" s="27" t="s">
        <v>11111</v>
      </c>
      <c r="G26" s="2" t="s">
        <v>16237</v>
      </c>
      <c r="H26" s="60"/>
      <c r="I26" s="3">
        <v>1646.33</v>
      </c>
      <c r="J26" s="5">
        <v>1164.96</v>
      </c>
      <c r="K26" s="5">
        <v>1470</v>
      </c>
      <c r="L26" s="5">
        <v>1442.83</v>
      </c>
      <c r="M26" s="5"/>
      <c r="N26" s="5"/>
      <c r="O26" s="5"/>
      <c r="P26" s="5"/>
      <c r="Q26" s="5">
        <v>645.73</v>
      </c>
      <c r="R26" s="5">
        <v>572.86</v>
      </c>
      <c r="S26" s="6">
        <v>645.73</v>
      </c>
      <c r="T26" s="5">
        <v>923.48</v>
      </c>
      <c r="U26" s="5"/>
      <c r="V26" s="6"/>
      <c r="W26" s="6"/>
      <c r="X26" s="6"/>
      <c r="Y26" s="6">
        <v>0</v>
      </c>
      <c r="Z26" s="6">
        <v>0</v>
      </c>
      <c r="AA26" s="6">
        <v>0</v>
      </c>
      <c r="AB26" s="6">
        <v>0</v>
      </c>
      <c r="AC26" s="6">
        <v>410</v>
      </c>
      <c r="AD26" s="4">
        <f t="shared" ca="1" si="12"/>
        <v>4.238585365853659</v>
      </c>
      <c r="AE26" s="4">
        <f t="shared" ca="1" si="13"/>
        <v>5.7714878048780482</v>
      </c>
      <c r="AF26" s="4">
        <f t="shared" ca="1" si="14"/>
        <v>0</v>
      </c>
      <c r="AG26" s="4">
        <f t="shared" ca="1" si="15"/>
        <v>0</v>
      </c>
      <c r="AH26" s="4">
        <f t="shared" ca="1" si="16"/>
        <v>0</v>
      </c>
      <c r="AI26" s="4">
        <f t="shared" ca="1" si="17"/>
        <v>0</v>
      </c>
      <c r="AJ26" s="4">
        <f t="shared" ca="1" si="18"/>
        <v>10.010073170731708</v>
      </c>
      <c r="AK26" s="29">
        <f t="shared" ca="1" si="19"/>
        <v>0.70761026039736874</v>
      </c>
      <c r="AL26" s="29">
        <f t="shared" ca="1" si="20"/>
        <v>0.98151700680272103</v>
      </c>
      <c r="AM26" s="29" t="str">
        <f t="shared" ca="1" si="21"/>
        <v>-</v>
      </c>
      <c r="AN26" s="29" t="str">
        <f t="shared" ca="1" si="22"/>
        <v>-</v>
      </c>
      <c r="AO26" s="29">
        <f t="shared" ca="1" si="23"/>
        <v>0.88715097641429075</v>
      </c>
      <c r="AP26" s="29">
        <f t="shared" ca="1" si="24"/>
        <v>1.4301333374630263</v>
      </c>
      <c r="AQ26" s="29" t="str">
        <f t="shared" ca="1" si="25"/>
        <v>-</v>
      </c>
      <c r="AR26" s="29" t="str">
        <f t="shared" ca="1" si="26"/>
        <v>-</v>
      </c>
      <c r="AS26" s="29" t="str">
        <f t="shared" ca="1" si="27"/>
        <v>-</v>
      </c>
      <c r="AT26" s="29" t="str">
        <f t="shared" ca="1" si="28"/>
        <v>-</v>
      </c>
    </row>
    <row r="27" spans="1:46" ht="30" x14ac:dyDescent="0.2">
      <c r="A27" s="32" t="str" cm="1">
        <f t="array" aca="1" ref="A27" ca="1">INDIRECT("D" &amp; ROW())&amp;INDIRECT("F" &amp; ROW())</f>
        <v>RXM77RADBOURNE UNIT - WARD 33 ADULT ACUTE INPATIENT</v>
      </c>
      <c r="D27" s="58" t="str" cm="1">
        <f t="array" aca="1" ref="D27" ca="1">IFERROR(VLOOKUP($E$5&amp;INDIRECT("E" &amp; ROW()),Sites,4,FALSE),"")</f>
        <v>RXM77</v>
      </c>
      <c r="E27" s="86" t="s">
        <v>8230</v>
      </c>
      <c r="F27" s="27" t="s">
        <v>11112</v>
      </c>
      <c r="G27" s="2" t="s">
        <v>16225</v>
      </c>
      <c r="H27" s="60"/>
      <c r="I27" s="3">
        <v>1353</v>
      </c>
      <c r="J27" s="5">
        <v>1182.43</v>
      </c>
      <c r="K27" s="5">
        <v>1160.5</v>
      </c>
      <c r="L27" s="5">
        <v>1769.07</v>
      </c>
      <c r="M27" s="5"/>
      <c r="N27" s="5"/>
      <c r="O27" s="5"/>
      <c r="P27" s="5"/>
      <c r="Q27" s="5">
        <v>651</v>
      </c>
      <c r="R27" s="5">
        <v>559.25</v>
      </c>
      <c r="S27" s="6">
        <v>325.5</v>
      </c>
      <c r="T27" s="5">
        <v>957.89</v>
      </c>
      <c r="U27" s="5"/>
      <c r="V27" s="6"/>
      <c r="W27" s="6"/>
      <c r="X27" s="6"/>
      <c r="Y27" s="6">
        <v>459.5</v>
      </c>
      <c r="Z27" s="6">
        <v>182</v>
      </c>
      <c r="AA27" s="6">
        <v>0</v>
      </c>
      <c r="AB27" s="6">
        <v>0</v>
      </c>
      <c r="AC27" s="6">
        <v>479</v>
      </c>
      <c r="AD27" s="4">
        <f t="shared" ca="1" si="12"/>
        <v>3.6360751565762004</v>
      </c>
      <c r="AE27" s="4">
        <f t="shared" ca="1" si="13"/>
        <v>5.6930271398747392</v>
      </c>
      <c r="AF27" s="4">
        <f t="shared" ca="1" si="14"/>
        <v>0</v>
      </c>
      <c r="AG27" s="4">
        <f t="shared" ca="1" si="15"/>
        <v>0</v>
      </c>
      <c r="AH27" s="4">
        <f t="shared" ca="1" si="16"/>
        <v>0.37995824634655534</v>
      </c>
      <c r="AI27" s="4">
        <f t="shared" ca="1" si="17"/>
        <v>0</v>
      </c>
      <c r="AJ27" s="4">
        <f t="shared" ca="1" si="18"/>
        <v>9.709060542797495</v>
      </c>
      <c r="AK27" s="29">
        <f t="shared" ca="1" si="19"/>
        <v>0.87393200295639328</v>
      </c>
      <c r="AL27" s="29">
        <f t="shared" ca="1" si="20"/>
        <v>1.5244032744506677</v>
      </c>
      <c r="AM27" s="29" t="str">
        <f t="shared" ca="1" si="21"/>
        <v>-</v>
      </c>
      <c r="AN27" s="29" t="str">
        <f t="shared" ca="1" si="22"/>
        <v>-</v>
      </c>
      <c r="AO27" s="29">
        <f t="shared" ca="1" si="23"/>
        <v>0.85906298003072201</v>
      </c>
      <c r="AP27" s="29">
        <f t="shared" ca="1" si="24"/>
        <v>2.9428264208909369</v>
      </c>
      <c r="AQ27" s="29" t="str">
        <f t="shared" ca="1" si="25"/>
        <v>-</v>
      </c>
      <c r="AR27" s="29" t="str">
        <f t="shared" ca="1" si="26"/>
        <v>-</v>
      </c>
      <c r="AS27" s="29">
        <f t="shared" ca="1" si="27"/>
        <v>0.39608269858541895</v>
      </c>
      <c r="AT27" s="29" t="str">
        <f t="shared" ca="1" si="28"/>
        <v>-</v>
      </c>
    </row>
    <row r="28" spans="1:46" ht="30" x14ac:dyDescent="0.2">
      <c r="A28" s="32" t="str" cm="1">
        <f t="array" aca="1" ref="A28" ca="1">INDIRECT("D" &amp; ROW())&amp;INDIRECT("F" &amp; ROW())</f>
        <v>RXM78RADBOURNE UNIT - WARD 34 ADULT ACUTE INPATIENT</v>
      </c>
      <c r="D28" s="58" t="str" cm="1">
        <f t="array" aca="1" ref="D28" ca="1">IFERROR(VLOOKUP($E$5&amp;INDIRECT("E" &amp; ROW()),Sites,4,FALSE),"")</f>
        <v>RXM78</v>
      </c>
      <c r="E28" s="86" t="s">
        <v>8232</v>
      </c>
      <c r="F28" s="27" t="s">
        <v>11113</v>
      </c>
      <c r="G28" s="2" t="s">
        <v>16225</v>
      </c>
      <c r="H28" s="60"/>
      <c r="I28" s="3">
        <v>1383</v>
      </c>
      <c r="J28" s="5">
        <v>1236</v>
      </c>
      <c r="K28" s="5">
        <v>1156</v>
      </c>
      <c r="L28" s="5">
        <v>1633.25</v>
      </c>
      <c r="M28" s="5"/>
      <c r="N28" s="5"/>
      <c r="O28" s="5"/>
      <c r="P28" s="5"/>
      <c r="Q28" s="5">
        <v>651</v>
      </c>
      <c r="R28" s="5">
        <v>493.5</v>
      </c>
      <c r="S28" s="6">
        <v>325.5</v>
      </c>
      <c r="T28" s="5">
        <v>1160.75</v>
      </c>
      <c r="U28" s="5"/>
      <c r="V28" s="6"/>
      <c r="W28" s="6"/>
      <c r="X28" s="6"/>
      <c r="Y28" s="6">
        <v>465.5</v>
      </c>
      <c r="Z28" s="6">
        <v>309.25</v>
      </c>
      <c r="AA28" s="6">
        <v>0</v>
      </c>
      <c r="AB28" s="6">
        <v>0</v>
      </c>
      <c r="AC28" s="6">
        <v>523</v>
      </c>
      <c r="AD28" s="4">
        <f t="shared" ca="1" si="12"/>
        <v>3.3068833652007648</v>
      </c>
      <c r="AE28" s="4">
        <f t="shared" ca="1" si="13"/>
        <v>5.3422562141491392</v>
      </c>
      <c r="AF28" s="4">
        <f t="shared" ca="1" si="14"/>
        <v>0</v>
      </c>
      <c r="AG28" s="4">
        <f t="shared" ca="1" si="15"/>
        <v>0</v>
      </c>
      <c r="AH28" s="4">
        <f t="shared" ca="1" si="16"/>
        <v>0.59130019120458888</v>
      </c>
      <c r="AI28" s="4">
        <f t="shared" ca="1" si="17"/>
        <v>0</v>
      </c>
      <c r="AJ28" s="4">
        <f t="shared" ca="1" si="18"/>
        <v>9.2404397705544934</v>
      </c>
      <c r="AK28" s="29">
        <f t="shared" ca="1" si="19"/>
        <v>0.89370932754880694</v>
      </c>
      <c r="AL28" s="29">
        <f t="shared" ca="1" si="20"/>
        <v>1.4128460207612457</v>
      </c>
      <c r="AM28" s="29" t="str">
        <f t="shared" ca="1" si="21"/>
        <v>-</v>
      </c>
      <c r="AN28" s="29" t="str">
        <f t="shared" ca="1" si="22"/>
        <v>-</v>
      </c>
      <c r="AO28" s="29">
        <f t="shared" ca="1" si="23"/>
        <v>0.75806451612903225</v>
      </c>
      <c r="AP28" s="29">
        <f t="shared" ca="1" si="24"/>
        <v>3.5660522273425501</v>
      </c>
      <c r="AQ28" s="29" t="str">
        <f t="shared" ca="1" si="25"/>
        <v>-</v>
      </c>
      <c r="AR28" s="29" t="str">
        <f t="shared" ca="1" si="26"/>
        <v>-</v>
      </c>
      <c r="AS28" s="29">
        <f t="shared" ca="1" si="27"/>
        <v>0.66433941997851775</v>
      </c>
      <c r="AT28" s="29" t="str">
        <f t="shared" ca="1" si="28"/>
        <v>-</v>
      </c>
    </row>
    <row r="29" spans="1:46" ht="30" x14ac:dyDescent="0.2">
      <c r="A29" s="32" t="str" cm="1">
        <f t="array" aca="1" ref="A29" ca="1">INDIRECT("D" &amp; ROW())&amp;INDIRECT("F" &amp; ROW())</f>
        <v>RXM81RADBOURNE UNIT - WARD 35 ADULT ACUTE INPATIENT</v>
      </c>
      <c r="D29" s="58" t="str" cm="1">
        <f t="array" aca="1" ref="D29" ca="1">IFERROR(VLOOKUP($E$5&amp;INDIRECT("E" &amp; ROW()),Sites,4,FALSE),"")</f>
        <v>RXM81</v>
      </c>
      <c r="E29" s="86" t="s">
        <v>8234</v>
      </c>
      <c r="F29" s="27" t="s">
        <v>11114</v>
      </c>
      <c r="G29" s="2" t="s">
        <v>16225</v>
      </c>
      <c r="H29" s="60"/>
      <c r="I29" s="3">
        <v>1381</v>
      </c>
      <c r="J29" s="5">
        <v>1279.07</v>
      </c>
      <c r="K29" s="5">
        <v>1179</v>
      </c>
      <c r="L29" s="5">
        <v>1375</v>
      </c>
      <c r="M29" s="5"/>
      <c r="N29" s="5"/>
      <c r="O29" s="5"/>
      <c r="P29" s="5"/>
      <c r="Q29" s="5">
        <v>651</v>
      </c>
      <c r="R29" s="5">
        <v>409</v>
      </c>
      <c r="S29" s="6">
        <v>325.5</v>
      </c>
      <c r="T29" s="5">
        <v>777</v>
      </c>
      <c r="U29" s="5"/>
      <c r="V29" s="6"/>
      <c r="W29" s="6"/>
      <c r="X29" s="6"/>
      <c r="Y29" s="6">
        <v>465</v>
      </c>
      <c r="Z29" s="6">
        <v>7.5</v>
      </c>
      <c r="AA29" s="6">
        <v>0</v>
      </c>
      <c r="AB29" s="6">
        <v>0</v>
      </c>
      <c r="AC29" s="6">
        <v>407</v>
      </c>
      <c r="AD29" s="4">
        <f t="shared" ca="1" si="12"/>
        <v>4.1475921375921372</v>
      </c>
      <c r="AE29" s="4">
        <f t="shared" ca="1" si="13"/>
        <v>5.2874692874692872</v>
      </c>
      <c r="AF29" s="4">
        <f t="shared" ca="1" si="14"/>
        <v>0</v>
      </c>
      <c r="AG29" s="4">
        <f t="shared" ca="1" si="15"/>
        <v>0</v>
      </c>
      <c r="AH29" s="4">
        <f t="shared" ca="1" si="16"/>
        <v>1.8427518427518427E-2</v>
      </c>
      <c r="AI29" s="4">
        <f t="shared" ca="1" si="17"/>
        <v>0</v>
      </c>
      <c r="AJ29" s="4">
        <f t="shared" ca="1" si="18"/>
        <v>9.4534889434889422</v>
      </c>
      <c r="AK29" s="29">
        <f t="shared" ca="1" si="19"/>
        <v>0.92619116582186811</v>
      </c>
      <c r="AL29" s="29">
        <f t="shared" ca="1" si="20"/>
        <v>1.1662425784563188</v>
      </c>
      <c r="AM29" s="29" t="str">
        <f t="shared" ca="1" si="21"/>
        <v>-</v>
      </c>
      <c r="AN29" s="29" t="str">
        <f t="shared" ca="1" si="22"/>
        <v>-</v>
      </c>
      <c r="AO29" s="29">
        <f t="shared" ca="1" si="23"/>
        <v>0.62826420890937018</v>
      </c>
      <c r="AP29" s="29">
        <f t="shared" ca="1" si="24"/>
        <v>2.3870967741935485</v>
      </c>
      <c r="AQ29" s="29" t="str">
        <f t="shared" ca="1" si="25"/>
        <v>-</v>
      </c>
      <c r="AR29" s="29" t="str">
        <f t="shared" ca="1" si="26"/>
        <v>-</v>
      </c>
      <c r="AS29" s="29">
        <f t="shared" ca="1" si="27"/>
        <v>1.6129032258064516E-2</v>
      </c>
      <c r="AT29" s="29" t="str">
        <f t="shared" ca="1" si="28"/>
        <v>-</v>
      </c>
    </row>
    <row r="30" spans="1:46" ht="30" x14ac:dyDescent="0.25">
      <c r="A30" s="32" t="str" cm="1">
        <f t="array" aca="1" ref="A30" ca="1">INDIRECT("D" &amp; ROW())&amp;INDIRECT("F" &amp; ROW())</f>
        <v>RXM74RADBOURNE UNIT - WARD 36 ADULT ACUTE INPATIENT</v>
      </c>
      <c r="D30" s="58" t="str" cm="1">
        <f t="array" aca="1" ref="D30" ca="1">IFERROR(VLOOKUP($E$5&amp;INDIRECT("E" &amp; ROW()),Sites,4,FALSE),"")</f>
        <v>RXM74</v>
      </c>
      <c r="E30" s="87" t="s">
        <v>8236</v>
      </c>
      <c r="F30" s="27" t="s">
        <v>11115</v>
      </c>
      <c r="G30" s="2" t="s">
        <v>16225</v>
      </c>
      <c r="H30" s="60"/>
      <c r="I30" s="3">
        <v>1369.5</v>
      </c>
      <c r="J30" s="5">
        <v>1283.5</v>
      </c>
      <c r="K30" s="5">
        <v>1543.5</v>
      </c>
      <c r="L30" s="5">
        <v>1614.81</v>
      </c>
      <c r="M30" s="5"/>
      <c r="N30" s="5"/>
      <c r="O30" s="5"/>
      <c r="P30" s="5"/>
      <c r="Q30" s="5">
        <v>651</v>
      </c>
      <c r="R30" s="5">
        <v>367.5</v>
      </c>
      <c r="S30" s="6">
        <v>346.5</v>
      </c>
      <c r="T30" s="5">
        <v>1081.92</v>
      </c>
      <c r="U30" s="5"/>
      <c r="V30" s="6"/>
      <c r="W30" s="6"/>
      <c r="X30" s="6"/>
      <c r="Y30" s="6">
        <v>465</v>
      </c>
      <c r="Z30" s="6">
        <v>44.5</v>
      </c>
      <c r="AA30" s="6">
        <v>232.5</v>
      </c>
      <c r="AB30" s="6">
        <v>130.75</v>
      </c>
      <c r="AC30" s="6">
        <v>400</v>
      </c>
      <c r="AD30" s="4">
        <f t="shared" ca="1" si="12"/>
        <v>4.1275000000000004</v>
      </c>
      <c r="AE30" s="4">
        <f t="shared" ca="1" si="13"/>
        <v>6.7418250000000004</v>
      </c>
      <c r="AF30" s="4">
        <f t="shared" ca="1" si="14"/>
        <v>0</v>
      </c>
      <c r="AG30" s="4">
        <f t="shared" ca="1" si="15"/>
        <v>0</v>
      </c>
      <c r="AH30" s="4">
        <f t="shared" ca="1" si="16"/>
        <v>0.11125</v>
      </c>
      <c r="AI30" s="4">
        <f t="shared" ca="1" si="17"/>
        <v>0.32687500000000003</v>
      </c>
      <c r="AJ30" s="4">
        <f t="shared" ca="1" si="18"/>
        <v>11.307449999999999</v>
      </c>
      <c r="AK30" s="29">
        <f t="shared" ca="1" si="19"/>
        <v>0.93720335889010586</v>
      </c>
      <c r="AL30" s="29">
        <f t="shared" ca="1" si="20"/>
        <v>1.0462001943634596</v>
      </c>
      <c r="AM30" s="29" t="str">
        <f t="shared" ca="1" si="21"/>
        <v>-</v>
      </c>
      <c r="AN30" s="29" t="str">
        <f t="shared" ca="1" si="22"/>
        <v>-</v>
      </c>
      <c r="AO30" s="29">
        <f t="shared" ca="1" si="23"/>
        <v>0.56451612903225812</v>
      </c>
      <c r="AP30" s="29">
        <f t="shared" ca="1" si="24"/>
        <v>3.1224242424242425</v>
      </c>
      <c r="AQ30" s="29" t="str">
        <f t="shared" ca="1" si="25"/>
        <v>-</v>
      </c>
      <c r="AR30" s="29" t="str">
        <f t="shared" ca="1" si="26"/>
        <v>-</v>
      </c>
      <c r="AS30" s="29">
        <f t="shared" ca="1" si="27"/>
        <v>9.56989247311828E-2</v>
      </c>
      <c r="AT30" s="29">
        <f t="shared" ca="1" si="28"/>
        <v>0.56236559139784947</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30" type="noConversion"/>
  <conditionalFormatting sqref="D10:E10">
    <cfRule type="cellIs" dxfId="8" priority="15" stopIfTrue="1" operator="equal">
      <formula>"At least one Hospital Site Name enetered is not recognised"</formula>
    </cfRule>
  </conditionalFormatting>
  <conditionalFormatting sqref="D11:E11">
    <cfRule type="cellIs" dxfId="7" priority="16" stopIfTrue="1" operator="equal">
      <formula>"Trust is not responsible for at least 1 site"</formula>
    </cfRule>
  </conditionalFormatting>
  <conditionalFormatting sqref="F10:F11">
    <cfRule type="cellIs" dxfId="6" priority="17" stopIfTrue="1" operator="equal">
      <formula>"Data not complete for all rows"</formula>
    </cfRule>
  </conditionalFormatting>
  <conditionalFormatting sqref="Y15:AB15">
    <cfRule type="expression" dxfId="5" priority="14">
      <formula>$J$626=1</formula>
    </cfRule>
  </conditionalFormatting>
  <conditionalFormatting sqref="AC12:AC13">
    <cfRule type="expression" dxfId="4" priority="13" stopIfTrue="1">
      <formula>#REF!="N"</formula>
    </cfRule>
  </conditionalFormatting>
  <conditionalFormatting sqref="Y17:AB81">
    <cfRule type="expression" dxfId="3" priority="9">
      <formula>$J$625=1</formula>
    </cfRule>
  </conditionalFormatting>
  <conditionalFormatting sqref="Y83:AB147">
    <cfRule type="expression" dxfId="2" priority="7">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B7CB9EA8-E8CF-41BD-9019-9AC2B5658AFF}">
            <xm:f>ISERROR(VLOOKUP(CONCATENATE(D16,"-",F16),'\Information Management Team\Reports\Returns\Staffing (Ward)\20-21 Safer Staffing\Jun 20\[Safer Staffing Return Jun 20.xlsx]Wards'!#REF!,1,FALSE))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I7" sqref="I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16349</v>
      </c>
      <c r="B4" s="124"/>
      <c r="C4" s="124"/>
      <c r="D4" s="124"/>
      <c r="E4" s="124"/>
      <c r="F4" s="124"/>
      <c r="G4" s="124"/>
      <c r="H4" s="124"/>
      <c r="I4" s="124"/>
      <c r="J4" s="124"/>
      <c r="K4" s="124"/>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185</v>
      </c>
    </row>
    <row r="6" spans="1:12" ht="31.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RXMT4AUDREY HOUSE RESIDENTIAL REHABILITATION</v>
      </c>
      <c r="B7" s="70" t="str">
        <f ca="1">IF('Trust - Frontsheet'!A16="","",'Trust - Frontsheet'!D16)</f>
        <v>RXMT4</v>
      </c>
      <c r="C7" s="70" t="str">
        <f ca="1">IF(VLOOKUP(A7,'Trust - Frontsheet'!$A$16:$AC$215,5,0)="","",VLOOKUP(A7,'Trust - Frontsheet'!$A$16:$AC$216,5,0))</f>
        <v>ADULT MENTAL HEALTH</v>
      </c>
      <c r="D7" s="70" t="str">
        <f ca="1">IF(VLOOKUP(A7,'Trust - Frontsheet'!$A$16:$AC$215,6,0)="","",VLOOKUP(A7,'Trust - Frontsheet'!$A$16:$AC$216,6,0))</f>
        <v>AUDREY HOUSE RESIDENTIAL REHABILITATION</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RXMT4CHILD BEARING INPATIENT</v>
      </c>
      <c r="B8" s="70" t="str">
        <f ca="1">IF('Trust - Frontsheet'!A17="","",'Trust - Frontsheet'!D17)</f>
        <v>RXMT4</v>
      </c>
      <c r="C8" s="70" t="str">
        <f ca="1">IF(VLOOKUP(A8,'Trust - Frontsheet'!$A$16:$AC$215,5,0)="","",VLOOKUP(A8,'Trust - Frontsheet'!$A$16:$AC$216,5,0))</f>
        <v>ADULT MENTAL HEALTH</v>
      </c>
      <c r="D8" s="70" t="str">
        <f ca="1">IF(VLOOKUP(A8,'Trust - Frontsheet'!$A$16:$AC$215,6,0)="","",VLOOKUP(A8,'Trust - Frontsheet'!$A$16:$AC$216,6,0))</f>
        <v>CHILD BEARING INPATIENT</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RXMT4CTC RESIDENTIAL REHABILITATION</v>
      </c>
      <c r="B9" s="70" t="str">
        <f ca="1">IF('Trust - Frontsheet'!A18="","",'Trust - Frontsheet'!D18)</f>
        <v>RXMT4</v>
      </c>
      <c r="C9" s="70" t="str">
        <f ca="1">IF(VLOOKUP(A9,'Trust - Frontsheet'!$A$16:$AC$215,5,0)="","",VLOOKUP(A9,'Trust - Frontsheet'!$A$16:$AC$216,5,0))</f>
        <v>ADULT MENTAL HEALTH</v>
      </c>
      <c r="D9" s="70" t="str">
        <f ca="1">IF(VLOOKUP(A9,'Trust - Frontsheet'!$A$16:$AC$215,6,0)="","",VLOOKUP(A9,'Trust - Frontsheet'!$A$16:$AC$216,6,0))</f>
        <v>CTC RESIDENTIAL REHABILITATION</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RXM54ENHANCED CARE WARD</v>
      </c>
      <c r="B10" s="70" t="str">
        <f ca="1">IF('Trust - Frontsheet'!A19="","",'Trust - Frontsheet'!D19)</f>
        <v>RXM54</v>
      </c>
      <c r="C10" s="70" t="str">
        <f ca="1">IF(VLOOKUP(A10,'Trust - Frontsheet'!$A$16:$AC$215,5,0)="","",VLOOKUP(A10,'Trust - Frontsheet'!$A$16:$AC$216,5,0))</f>
        <v>RADBOURNE UNIT</v>
      </c>
      <c r="D10" s="70" t="str">
        <f ca="1">IF(VLOOKUP(A10,'Trust - Frontsheet'!$A$16:$AC$215,6,0)="","",VLOOKUP(A10,'Trust - Frontsheet'!$A$16:$AC$216,6,0))</f>
        <v>ENHANCED CARE WARD</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RXM70HARTINGTON UNIT - MORTON WARD ADULT</v>
      </c>
      <c r="B11" s="69" t="str">
        <f ca="1">IF('Trust - Frontsheet'!A20="","",'Trust - Frontsheet'!D20)</f>
        <v>RXM70</v>
      </c>
      <c r="C11" s="69" t="str">
        <f ca="1">IF(VLOOKUP(A11,'Trust - Frontsheet'!$A$16:$AC$215,5,0)="","",VLOOKUP(A11,'Trust - Frontsheet'!$A$16:$AC$216,5,0))</f>
        <v>MORTON WARD, HARTINGTON UNIT</v>
      </c>
      <c r="D11" s="69" t="str">
        <f ca="1">IF(VLOOKUP(A11,'Trust - Frontsheet'!$A$16:$AC$215,6,0)="","",VLOOKUP(A11,'Trust - Frontsheet'!$A$16:$AC$216,6,0))</f>
        <v>HARTINGTON UNIT - MORTON WARD ADULT</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RXM71HARTINGTON UNIT - PLEASLEY WARD ADULT</v>
      </c>
      <c r="B12" s="69" t="str">
        <f ca="1">IF('Trust - Frontsheet'!A21="","",'Trust - Frontsheet'!D21)</f>
        <v>RXM71</v>
      </c>
      <c r="C12" s="69" t="str">
        <f ca="1">IF(VLOOKUP(A12,'Trust - Frontsheet'!$A$16:$AC$215,5,0)="","",VLOOKUP(A12,'Trust - Frontsheet'!$A$16:$AC$216,5,0))</f>
        <v>PLEASLEY WARD, HARTINGTON UNIT</v>
      </c>
      <c r="D12" s="69" t="str">
        <f ca="1">IF(VLOOKUP(A12,'Trust - Frontsheet'!$A$16:$AC$215,6,0)="","",VLOOKUP(A12,'Trust - Frontsheet'!$A$16:$AC$216,6,0))</f>
        <v>HARTINGTON UNIT - PLEASLEY WARD ADULT</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RXM76HARTINGTON UNIT - TANSLEY WARD ADULT</v>
      </c>
      <c r="B13" s="69" t="str">
        <f ca="1">IF('Trust - Frontsheet'!A22="","",'Trust - Frontsheet'!D22)</f>
        <v>RXM76</v>
      </c>
      <c r="C13" s="69" t="str">
        <f ca="1">IF(VLOOKUP(A13,'Trust - Frontsheet'!$A$16:$AC$215,5,0)="","",VLOOKUP(A13,'Trust - Frontsheet'!$A$16:$AC$216,5,0))</f>
        <v>TANSLEY WARD</v>
      </c>
      <c r="D13" s="69" t="str">
        <f ca="1">IF(VLOOKUP(A13,'Trust - Frontsheet'!$A$16:$AC$215,6,0)="","",VLOOKUP(A13,'Trust - Frontsheet'!$A$16:$AC$216,6,0))</f>
        <v>HARTINGTON UNIT - TANSLEY WARD ADULT</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RXM30KEDLESTON LOW SECURE UNIT</v>
      </c>
      <c r="B14" s="69" t="str">
        <f ca="1">IF('Trust - Frontsheet'!A23="","",'Trust - Frontsheet'!D23)</f>
        <v>RXM30</v>
      </c>
      <c r="C14" s="69" t="str">
        <f ca="1">IF(VLOOKUP(A14,'Trust - Frontsheet'!$A$16:$AC$215,5,0)="","",VLOOKUP(A14,'Trust - Frontsheet'!$A$16:$AC$216,5,0))</f>
        <v>KEDLESTON UNIT</v>
      </c>
      <c r="D14" s="69" t="str">
        <f ca="1">IF(VLOOKUP(A14,'Trust - Frontsheet'!$A$16:$AC$215,6,0)="","",VLOOKUP(A14,'Trust - Frontsheet'!$A$16:$AC$216,6,0))</f>
        <v>KEDLESTON LOW SECURE UNIT</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RXMT4KINGSWAY CUBLEY COURT - FEMALE</v>
      </c>
      <c r="B15" s="69" t="str">
        <f ca="1">IF('Trust - Frontsheet'!A24="","",'Trust - Frontsheet'!D24)</f>
        <v>RXMT4</v>
      </c>
      <c r="C15" s="69" t="str">
        <f ca="1">IF(VLOOKUP(A15,'Trust - Frontsheet'!$A$16:$AC$215,5,0)="","",VLOOKUP(A15,'Trust - Frontsheet'!$A$16:$AC$216,5,0))</f>
        <v>ADULT MENTAL HEALTH</v>
      </c>
      <c r="D15" s="69" t="str">
        <f ca="1">IF(VLOOKUP(A15,'Trust - Frontsheet'!$A$16:$AC$215,6,0)="","",VLOOKUP(A15,'Trust - Frontsheet'!$A$16:$AC$216,6,0))</f>
        <v>KINGSWAY CUBLEY COURT - FEMALE</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
      </c>
    </row>
    <row r="16" spans="1:12" ht="45" customHeight="1" x14ac:dyDescent="0.2">
      <c r="A16" t="str">
        <f ca="1">IF('Trust - Frontsheet'!A25="","",'Trust - Frontsheet'!A25)</f>
        <v>RXMT4KINGSWAY CUBLEY COURT - MALE</v>
      </c>
      <c r="B16" s="69" t="str">
        <f ca="1">IF('Trust - Frontsheet'!A25="","",'Trust - Frontsheet'!D25)</f>
        <v>RXMT4</v>
      </c>
      <c r="C16" s="69" t="str">
        <f ca="1">IF(VLOOKUP(A16,'Trust - Frontsheet'!$A$16:$AC$215,5,0)="","",VLOOKUP(A16,'Trust - Frontsheet'!$A$16:$AC$216,5,0))</f>
        <v>ADULT MENTAL HEALTH</v>
      </c>
      <c r="D16" s="69" t="str">
        <f ca="1">IF(VLOOKUP(A16,'Trust - Frontsheet'!$A$16:$AC$215,6,0)="","",VLOOKUP(A16,'Trust - Frontsheet'!$A$16:$AC$216,6,0))</f>
        <v>KINGSWAY CUBLEY COURT - MALE</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
      </c>
    </row>
    <row r="17" spans="1:12" ht="45" customHeight="1" x14ac:dyDescent="0.2">
      <c r="A17" t="str">
        <f ca="1">IF('Trust - Frontsheet'!A26="","",'Trust - Frontsheet'!A26)</f>
        <v>RXM63LONDON ROAD COMMUNITY HOSPITAL - WARD 1 OP</v>
      </c>
      <c r="B17" s="69" t="str">
        <f ca="1">IF('Trust - Frontsheet'!A26="","",'Trust - Frontsheet'!D26)</f>
        <v>RXM63</v>
      </c>
      <c r="C17" s="69" t="str">
        <f ca="1">IF(VLOOKUP(A17,'Trust - Frontsheet'!$A$16:$AC$215,5,0)="","",VLOOKUP(A17,'Trust - Frontsheet'!$A$16:$AC$216,5,0))</f>
        <v>WARD 1</v>
      </c>
      <c r="D17" s="69" t="str">
        <f ca="1">IF(VLOOKUP(A17,'Trust - Frontsheet'!$A$16:$AC$215,6,0)="","",VLOOKUP(A17,'Trust - Frontsheet'!$A$16:$AC$216,6,0))</f>
        <v>LONDON ROAD COMMUNITY HOSPITAL - WARD 1 OP</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
      </c>
    </row>
    <row r="18" spans="1:12" ht="45" customHeight="1" x14ac:dyDescent="0.2">
      <c r="A18" t="str">
        <f ca="1">IF('Trust - Frontsheet'!A27="","",'Trust - Frontsheet'!A27)</f>
        <v>RXM77RADBOURNE UNIT - WARD 33 ADULT ACUTE INPATIENT</v>
      </c>
      <c r="B18" s="69" t="str">
        <f ca="1">IF('Trust - Frontsheet'!A27="","",'Trust - Frontsheet'!D27)</f>
        <v>RXM77</v>
      </c>
      <c r="C18" s="69" t="str">
        <f ca="1">IF(VLOOKUP(A18,'Trust - Frontsheet'!$A$16:$AC$215,5,0)="","",VLOOKUP(A18,'Trust - Frontsheet'!$A$16:$AC$216,5,0))</f>
        <v>WARD 33, PSYCHIATRIC UNIT</v>
      </c>
      <c r="D18" s="69" t="str">
        <f ca="1">IF(VLOOKUP(A18,'Trust - Frontsheet'!$A$16:$AC$215,6,0)="","",VLOOKUP(A18,'Trust - Frontsheet'!$A$16:$AC$216,6,0))</f>
        <v>RADBOURNE UNIT - WARD 33 ADULT ACUTE INPATIENT</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
      </c>
    </row>
    <row r="19" spans="1:12" ht="45" customHeight="1" x14ac:dyDescent="0.2">
      <c r="A19" t="str">
        <f ca="1">IF('Trust - Frontsheet'!A28="","",'Trust - Frontsheet'!A28)</f>
        <v>RXM78RADBOURNE UNIT - WARD 34 ADULT ACUTE INPATIENT</v>
      </c>
      <c r="B19" s="69" t="str">
        <f ca="1">IF('Trust - Frontsheet'!A28="","",'Trust - Frontsheet'!D28)</f>
        <v>RXM78</v>
      </c>
      <c r="C19" s="69" t="str">
        <f ca="1">IF(VLOOKUP(A19,'Trust - Frontsheet'!$A$16:$AC$215,5,0)="","",VLOOKUP(A19,'Trust - Frontsheet'!$A$16:$AC$216,5,0))</f>
        <v>WARD 34, PSYCHIATRIC UNIT</v>
      </c>
      <c r="D19" s="69" t="str">
        <f ca="1">IF(VLOOKUP(A19,'Trust - Frontsheet'!$A$16:$AC$215,6,0)="","",VLOOKUP(A19,'Trust - Frontsheet'!$A$16:$AC$216,6,0))</f>
        <v>RADBOURNE UNIT - WARD 34 ADULT ACUTE INPATIENT</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
      </c>
    </row>
    <row r="20" spans="1:12" ht="45" customHeight="1" x14ac:dyDescent="0.2">
      <c r="A20" t="str">
        <f ca="1">IF('Trust - Frontsheet'!A29="","",'Trust - Frontsheet'!A29)</f>
        <v>RXM81RADBOURNE UNIT - WARD 35 ADULT ACUTE INPATIENT</v>
      </c>
      <c r="B20" s="69" t="str">
        <f ca="1">IF('Trust - Frontsheet'!A29="","",'Trust - Frontsheet'!D29)</f>
        <v>RXM81</v>
      </c>
      <c r="C20" s="69" t="str">
        <f ca="1">IF(VLOOKUP(A20,'Trust - Frontsheet'!$A$16:$AC$215,5,0)="","",VLOOKUP(A20,'Trust - Frontsheet'!$A$16:$AC$216,5,0))</f>
        <v>WARD 35, PSYCHIATRIC UNIT</v>
      </c>
      <c r="D20" s="69" t="str">
        <f ca="1">IF(VLOOKUP(A20,'Trust - Frontsheet'!$A$16:$AC$215,6,0)="","",VLOOKUP(A20,'Trust - Frontsheet'!$A$16:$AC$216,6,0))</f>
        <v>RADBOURNE UNIT - WARD 35 ADULT ACUTE INPATIENT</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
      </c>
    </row>
    <row r="21" spans="1:12" ht="45" customHeight="1" x14ac:dyDescent="0.2">
      <c r="A21" t="str">
        <f ca="1">IF('Trust - Frontsheet'!A30="","",'Trust - Frontsheet'!A30)</f>
        <v>RXM74RADBOURNE UNIT - WARD 36 ADULT ACUTE INPATIENT</v>
      </c>
      <c r="B21" s="69" t="str">
        <f ca="1">IF('Trust - Frontsheet'!A30="","",'Trust - Frontsheet'!D30)</f>
        <v>RXM74</v>
      </c>
      <c r="C21" s="69" t="str">
        <f ca="1">IF(VLOOKUP(A21,'Trust - Frontsheet'!$A$16:$AC$215,5,0)="","",VLOOKUP(A21,'Trust - Frontsheet'!$A$16:$AC$216,5,0))</f>
        <v>WARD 36, PSYCHIATRIC UNIT</v>
      </c>
      <c r="D21" s="69" t="str">
        <f ca="1">IF(VLOOKUP(A21,'Trust - Frontsheet'!$A$16:$AC$215,6,0)="","",VLOOKUP(A21,'Trust - Frontsheet'!$A$16:$AC$216,6,0))</f>
        <v>RADBOURNE UNIT - WARD 36 ADULT ACUTE INPATIENT</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5:S213"/>
  <sheetViews>
    <sheetView showGridLines="0" topLeftCell="B7"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5" t="s">
        <v>16344</v>
      </c>
      <c r="C5" s="125"/>
      <c r="D5" s="125"/>
      <c r="E5" s="125"/>
      <c r="F5" s="125"/>
      <c r="G5" s="125"/>
      <c r="H5" s="125"/>
      <c r="I5" s="125"/>
      <c r="J5" s="125"/>
      <c r="K5" s="125"/>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Registered Nurses/Midwives Avg Night Fill rate not between 80 and 150%</v>
      </c>
      <c r="G7" s="71" t="str">
        <f ca="1">IF(AND('Control Panel'!$E$6&lt;&gt;"",ISNUMBER('Trust - Frontsheet'!AP15),OR('Trust - Frontsheet'!AP15&lt;0.8,'Trust - Frontsheet'!AP15&gt;1.5)),"Non-Registered Nurses/Midwives Avg Night Fill rate not between 80 and 150%","")</f>
        <v>Non-Registered Nurses/Midwives Avg Night Fill rate not between 80 and 150%</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71"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10" spans="1:19" ht="15.75" x14ac:dyDescent="0.25">
      <c r="B10" s="124" t="s">
        <v>16348</v>
      </c>
      <c r="C10" s="124"/>
      <c r="D10" s="124"/>
      <c r="E10" s="124"/>
      <c r="F10" s="124"/>
      <c r="G10" s="124"/>
      <c r="H10" s="124"/>
      <c r="I10" s="124"/>
      <c r="J10" s="124"/>
      <c r="K10" s="124"/>
      <c r="L10" s="124"/>
      <c r="M10" s="124"/>
      <c r="N10" s="124"/>
      <c r="O10" s="124"/>
      <c r="P10" s="124"/>
      <c r="Q10" s="124"/>
      <c r="R10" s="124"/>
      <c r="S10" s="124"/>
    </row>
    <row r="11" spans="1:19" ht="15.75" x14ac:dyDescent="0.25">
      <c r="E11" s="74" cm="1">
        <f t="array" aca="1" ref="E11" ca="1">SUM(--(LEN(E14:E213)&gt;0))</f>
        <v>1</v>
      </c>
      <c r="F11" s="74" cm="1">
        <f t="array" aca="1" ref="F11" ca="1">SUM(--(LEN(F14:F213)&gt;0))</f>
        <v>9</v>
      </c>
      <c r="G11" s="74" cm="1">
        <f t="array" aca="1" ref="G11" ca="1">SUM(--(LEN(G14:G213)&gt;0))</f>
        <v>0</v>
      </c>
      <c r="H11" s="74" cm="1">
        <f t="array" aca="1" ref="H11" ca="1">SUM(--(LEN(H14:H213)&gt;0))</f>
        <v>0</v>
      </c>
      <c r="I11" s="74" cm="1">
        <f t="array" aca="1" ref="I11" ca="1">SUM(--(LEN(I14:I213)&gt;0))</f>
        <v>1</v>
      </c>
      <c r="J11" s="74" cm="1">
        <f t="array" aca="1" ref="J11" ca="1">SUM(--(LEN(J14:J213)&gt;0))</f>
        <v>13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1</v>
      </c>
      <c r="Q11" s="74" cm="1">
        <f t="array" aca="1" ref="Q11" ca="1">SUM(--(LEN(Q14:Q213)&gt;0))</f>
        <v>1</v>
      </c>
      <c r="R11" s="74" cm="1">
        <f t="array" aca="1" ref="R11" ca="1">SUM(--(LEN(R14:R213)&gt;0))</f>
        <v>0</v>
      </c>
      <c r="S11" s="74" cm="1">
        <f t="array" aca="1" ref="S11" ca="1">SUM(--(LEN(S14:S213)&gt;0))</f>
        <v>0</v>
      </c>
    </row>
    <row r="12" spans="1:19" ht="15.75" x14ac:dyDescent="0.25">
      <c r="B12" s="126" t="s">
        <v>16347</v>
      </c>
      <c r="C12" s="126"/>
      <c r="D12" s="126"/>
      <c r="E12" s="126"/>
      <c r="F12" s="126"/>
      <c r="G12" s="126"/>
      <c r="H12" s="126"/>
      <c r="I12" s="126"/>
      <c r="J12" s="126"/>
      <c r="K12" s="126"/>
      <c r="L12" s="126"/>
      <c r="M12" s="126"/>
      <c r="N12" s="126"/>
      <c r="O12" s="126"/>
      <c r="P12" s="126"/>
      <c r="Q12" s="126"/>
      <c r="R12" s="126"/>
      <c r="S12" s="126"/>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105" x14ac:dyDescent="0.2">
      <c r="A14" s="70" t="str">
        <f ca="1">IF('Trust - Frontsheet'!A16="","",'Trust - Frontsheet'!A16)</f>
        <v>RXMT4AUDREY HOUSE RESIDENTIAL REHABILITATION</v>
      </c>
      <c r="B14" s="70" t="str">
        <f ca="1">IF('Trust - Frontsheet'!A16="","",'Trust - Frontsheet'!D16)</f>
        <v>RXMT4</v>
      </c>
      <c r="C14" s="70" t="str">
        <f ca="1">IF(VLOOKUP(A14,'Trust - Frontsheet'!$A$16:$AC$215,5,0)="","",VLOOKUP(A14,'Trust - Frontsheet'!$A$16:$AC$216,5,0))</f>
        <v>ADULT MENTAL HEALTH</v>
      </c>
      <c r="D14" s="70" t="str">
        <f ca="1">IF(VLOOKUP(A14,'Trust - Frontsheet'!$A$16:$AC$215,6,0)="","",VLOOKUP(A14,'Trust - Frontsheet'!$A$16:$AC$216,6,0))</f>
        <v>AUDREY HOUSE RESIDENTIAL REHABILITATION</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Non-Registered Nurses/Midwives Avg Day Fill rate &gt; 100%</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Non-Registered Nurses/Midwives Avg Night Fill rate &gt;100%</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RXMT4CHILD BEARING INPATIENT</v>
      </c>
      <c r="B15" s="70" t="str">
        <f ca="1">IF('Trust - Frontsheet'!A17="","",'Trust - Frontsheet'!D17)</f>
        <v>RXMT4</v>
      </c>
      <c r="C15" s="70" t="str">
        <f ca="1">IF(VLOOKUP(A15,'Trust - Frontsheet'!$A$16:$AC$215,5,0)="","",VLOOKUP(A15,'Trust - Frontsheet'!$A$16:$AC$216,5,0))</f>
        <v>ADULT MENTAL HEALTH</v>
      </c>
      <c r="D15" s="70" t="str">
        <f ca="1">IF(VLOOKUP(A15,'Trust - Frontsheet'!$A$16:$AC$215,6,0)="","",VLOOKUP(A15,'Trust - Frontsheet'!$A$16:$AC$216,6,0))</f>
        <v>CHILD BEARING INPATIENT</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70" t="str">
        <f ca="1">IF('Trust - Frontsheet'!A18="","",'Trust - Frontsheet'!A18)</f>
        <v>RXMT4CTC RESIDENTIAL REHABILITATION</v>
      </c>
      <c r="B16" s="70" t="str">
        <f ca="1">IF('Trust - Frontsheet'!A18="","",'Trust - Frontsheet'!D18)</f>
        <v>RXMT4</v>
      </c>
      <c r="C16" s="70" t="str">
        <f ca="1">IF(VLOOKUP(A16,'Trust - Frontsheet'!$A$16:$AC$215,5,0)="","",VLOOKUP(A16,'Trust - Frontsheet'!$A$16:$AC$216,5,0))</f>
        <v>ADULT MENTAL HEALTH</v>
      </c>
      <c r="D16" s="70" t="str">
        <f ca="1">IF(VLOOKUP(A16,'Trust - Frontsheet'!$A$16:$AC$215,6,0)="","",VLOOKUP(A16,'Trust - Frontsheet'!$A$16:$AC$216,6,0))</f>
        <v>CTC RESIDENTIAL REHABILITATION</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RXM54ENHANCED CARE WARD</v>
      </c>
      <c r="B17" s="70" t="str">
        <f ca="1">IF('Trust - Frontsheet'!A19="","",'Trust - Frontsheet'!D19)</f>
        <v>RXM54</v>
      </c>
      <c r="C17" s="70" t="str">
        <f ca="1">IF(VLOOKUP(A17,'Trust - Frontsheet'!$A$16:$AC$215,5,0)="","",VLOOKUP(A17,'Trust - Frontsheet'!$A$16:$AC$216,5,0))</f>
        <v>RADBOURNE UNIT</v>
      </c>
      <c r="D17" s="70" t="str">
        <f ca="1">IF(VLOOKUP(A17,'Trust - Frontsheet'!$A$16:$AC$215,6,0)="","",VLOOKUP(A17,'Trust - Frontsheet'!$A$16:$AC$216,6,0))</f>
        <v>ENHANCED CARE WARD</v>
      </c>
      <c r="E17" s="70" t="str">
        <f ca="1">IF(A17="","",IF(AND('Trust - Frontsheet'!AK18&gt;1,ISNUMBER('Trust - Frontsheet'!AK18)),"Registered Nurses/Midwives Avg Day Fill rate &gt; 100%",""))</f>
        <v>Registered Nurses/Midwives Avg Day Fill rate &gt; 100%</v>
      </c>
      <c r="F17" s="70" t="str">
        <f ca="1">IF(A17="","",IF(AND(ISNUMBER('Trust - Frontsheet'!AL18),'Trust - Frontsheet'!AL18&gt;1),"Non-Registered Nurses/Midwives Avg Day Fill rate &gt; 100%",""))</f>
        <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Non-Registered Nurses/Midwives Avg Night Fill rate &gt;100%</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RXM70HARTINGTON UNIT - MORTON WARD ADULT</v>
      </c>
      <c r="B18" s="70" t="str">
        <f ca="1">IF('Trust - Frontsheet'!A20="","",'Trust - Frontsheet'!D20)</f>
        <v>RXM70</v>
      </c>
      <c r="C18" s="70" t="str">
        <f ca="1">IF(VLOOKUP(A18,'Trust - Frontsheet'!$A$16:$AC$215,5,0)="","",VLOOKUP(A18,'Trust - Frontsheet'!$A$16:$AC$216,5,0))</f>
        <v>MORTON WARD, HARTINGTON UNIT</v>
      </c>
      <c r="D18" s="70" t="str">
        <f ca="1">IF(VLOOKUP(A18,'Trust - Frontsheet'!$A$16:$AC$215,6,0)="","",VLOOKUP(A18,'Trust - Frontsheet'!$A$16:$AC$216,6,0))</f>
        <v>HARTINGTON UNIT - MORTON WARD ADULT</v>
      </c>
      <c r="E18" s="70" t="str">
        <f ca="1">IF(A18="","",IF(AND('Trust - Frontsheet'!AK19&gt;1,ISNUMBER('Trust - Frontsheet'!AK19)),"Registered Nurses/Midwives Avg Day Fill rate &gt; 100%",""))</f>
        <v/>
      </c>
      <c r="F18" s="70" t="str">
        <f ca="1">IF(A18="","",IF(AND(ISNUMBER('Trust - Frontsheet'!AL19),'Trust - Frontsheet'!AL19&gt;1),"Non-Registered Nurses/Midwives Avg Day Fill rate &gt; 100%",""))</f>
        <v>Non-Registered Nurses/Midwives Avg Day Fill rate &gt; 100%</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Non-Registered Nurses/Midwives Avg Night Fill rate &gt;100%</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RXM71HARTINGTON UNIT - PLEASLEY WARD ADULT</v>
      </c>
      <c r="B19" s="70" t="str">
        <f ca="1">IF('Trust - Frontsheet'!A21="","",'Trust - Frontsheet'!D21)</f>
        <v>RXM71</v>
      </c>
      <c r="C19" s="70" t="str">
        <f ca="1">IF(VLOOKUP(A19,'Trust - Frontsheet'!$A$16:$AC$215,5,0)="","",VLOOKUP(A19,'Trust - Frontsheet'!$A$16:$AC$216,5,0))</f>
        <v>PLEASLEY WARD, HARTINGTON UNIT</v>
      </c>
      <c r="D19" s="70" t="str">
        <f ca="1">IF(VLOOKUP(A19,'Trust - Frontsheet'!$A$16:$AC$215,6,0)="","",VLOOKUP(A19,'Trust - Frontsheet'!$A$16:$AC$216,6,0))</f>
        <v>HARTINGTON UNIT - PLEASLEY WARD ADULT</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RXM76HARTINGTON UNIT - TANSLEY WARD ADULT</v>
      </c>
      <c r="B20" s="70" t="str">
        <f ca="1">IF('Trust - Frontsheet'!A22="","",'Trust - Frontsheet'!D22)</f>
        <v>RXM76</v>
      </c>
      <c r="C20" s="70" t="str">
        <f ca="1">IF(VLOOKUP(A20,'Trust - Frontsheet'!$A$16:$AC$215,5,0)="","",VLOOKUP(A20,'Trust - Frontsheet'!$A$16:$AC$216,5,0))</f>
        <v>TANSLEY WARD</v>
      </c>
      <c r="D20" s="70" t="str">
        <f ca="1">IF(VLOOKUP(A20,'Trust - Frontsheet'!$A$16:$AC$215,6,0)="","",VLOOKUP(A20,'Trust - Frontsheet'!$A$16:$AC$216,6,0))</f>
        <v>HARTINGTON UNIT - TANSLEY WARD ADULT</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RXM30KEDLESTON LOW SECURE UNIT</v>
      </c>
      <c r="B21" s="70" t="str">
        <f ca="1">IF('Trust - Frontsheet'!A23="","",'Trust - Frontsheet'!D23)</f>
        <v>RXM30</v>
      </c>
      <c r="C21" s="70" t="str">
        <f ca="1">IF(VLOOKUP(A21,'Trust - Frontsheet'!$A$16:$AC$215,5,0)="","",VLOOKUP(A21,'Trust - Frontsheet'!$A$16:$AC$216,5,0))</f>
        <v>KEDLESTON UNIT</v>
      </c>
      <c r="D21" s="70" t="str">
        <f ca="1">IF(VLOOKUP(A21,'Trust - Frontsheet'!$A$16:$AC$215,6,0)="","",VLOOKUP(A21,'Trust - Frontsheet'!$A$16:$AC$216,6,0))</f>
        <v>KEDLESTON LOW SECURE UNIT</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Non-Registered Nurses/Midwives Avg Day Fill rate &gt; 100%</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Non-Registered Nurses/Midwives Avg Night Fill rate &gt;100%</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RXMT4KINGSWAY CUBLEY COURT - FEMALE</v>
      </c>
      <c r="B22" s="70" t="str">
        <f ca="1">IF('Trust - Frontsheet'!A24="","",'Trust - Frontsheet'!D24)</f>
        <v>RXMT4</v>
      </c>
      <c r="C22" s="70" t="str">
        <f ca="1">IF(VLOOKUP(A22,'Trust - Frontsheet'!$A$16:$AC$215,5,0)="","",VLOOKUP(A22,'Trust - Frontsheet'!$A$16:$AC$216,5,0))</f>
        <v>ADULT MENTAL HEALTH</v>
      </c>
      <c r="D22" s="70" t="str">
        <f ca="1">IF(VLOOKUP(A22,'Trust - Frontsheet'!$A$16:$AC$215,6,0)="","",VLOOKUP(A22,'Trust - Frontsheet'!$A$16:$AC$216,6,0))</f>
        <v>KINGSWAY CUBLEY COURT - FEMALE</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Registered Nurses/Midwives Avg Night Fill rate &gt; 100%</v>
      </c>
      <c r="J22" s="70" t="str">
        <f ca="1">IF(A22="","",IF(AND(ISNUMBER('Trust - Frontsheet'!AP23),'Trust - Frontsheet'!AP23&gt;1),"Non-Registered Nurses/Midwives Avg Night Fill rate &gt;100%",""))</f>
        <v>Non-Registered Nurses/Midwives Avg Night Fill rate &gt;100%</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RXMT4KINGSWAY CUBLEY COURT - MALE</v>
      </c>
      <c r="B23" s="70" t="str">
        <f ca="1">IF('Trust - Frontsheet'!A25="","",'Trust - Frontsheet'!D25)</f>
        <v>RXMT4</v>
      </c>
      <c r="C23" s="70" t="str">
        <f ca="1">IF(VLOOKUP(A23,'Trust - Frontsheet'!$A$16:$AC$215,5,0)="","",VLOOKUP(A23,'Trust - Frontsheet'!$A$16:$AC$216,5,0))</f>
        <v>ADULT MENTAL HEALTH</v>
      </c>
      <c r="D23" s="70" t="str">
        <f ca="1">IF(VLOOKUP(A23,'Trust - Frontsheet'!$A$16:$AC$215,6,0)="","",VLOOKUP(A23,'Trust - Frontsheet'!$A$16:$AC$216,6,0))</f>
        <v>KINGSWAY CUBLEY COURT - MALE</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Non-Registered Nurses/Midwives Avg Day Fill rate &gt; 100%</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Non-Registered Nurses/Midwives Avg Night Fill rate &gt;100%</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RXM63LONDON ROAD COMMUNITY HOSPITAL - WARD 1 OP</v>
      </c>
      <c r="B24" s="70" t="str">
        <f ca="1">IF('Trust - Frontsheet'!A26="","",'Trust - Frontsheet'!D26)</f>
        <v>RXM63</v>
      </c>
      <c r="C24" s="70" t="str">
        <f ca="1">IF(VLOOKUP(A24,'Trust - Frontsheet'!$A$16:$AC$215,5,0)="","",VLOOKUP(A24,'Trust - Frontsheet'!$A$16:$AC$216,5,0))</f>
        <v>WARD 1</v>
      </c>
      <c r="D24" s="70" t="str">
        <f ca="1">IF(VLOOKUP(A24,'Trust - Frontsheet'!$A$16:$AC$215,6,0)="","",VLOOKUP(A24,'Trust - Frontsheet'!$A$16:$AC$216,6,0))</f>
        <v>LONDON ROAD COMMUNITY HOSPITAL - WARD 1 OP</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Non-Registered Nurses/Midwives Avg Day Fill rate &gt; 100%</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Non-Registered Nurses/Midwives Avg Night Fill rate &gt;100%</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RXM77RADBOURNE UNIT - WARD 33 ADULT ACUTE INPATIENT</v>
      </c>
      <c r="B25" s="70" t="str">
        <f ca="1">IF('Trust - Frontsheet'!A27="","",'Trust - Frontsheet'!D27)</f>
        <v>RXM77</v>
      </c>
      <c r="C25" s="70" t="str">
        <f ca="1">IF(VLOOKUP(A25,'Trust - Frontsheet'!$A$16:$AC$215,5,0)="","",VLOOKUP(A25,'Trust - Frontsheet'!$A$16:$AC$216,5,0))</f>
        <v>WARD 33, PSYCHIATRIC UNIT</v>
      </c>
      <c r="D25" s="70" t="str">
        <f ca="1">IF(VLOOKUP(A25,'Trust - Frontsheet'!$A$16:$AC$215,6,0)="","",VLOOKUP(A25,'Trust - Frontsheet'!$A$16:$AC$216,6,0))</f>
        <v>RADBOURNE UNIT - WARD 33 ADULT ACUTE INPATIENT</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Non-Registered Nurses/Midwives Avg Night Fill rate &gt;100%</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RXM78RADBOURNE UNIT - WARD 34 ADULT ACUTE INPATIENT</v>
      </c>
      <c r="B26" s="70" t="str">
        <f ca="1">IF('Trust - Frontsheet'!A28="","",'Trust - Frontsheet'!D28)</f>
        <v>RXM78</v>
      </c>
      <c r="C26" s="70" t="str">
        <f ca="1">IF(VLOOKUP(A26,'Trust - Frontsheet'!$A$16:$AC$215,5,0)="","",VLOOKUP(A26,'Trust - Frontsheet'!$A$16:$AC$216,5,0))</f>
        <v>WARD 34, PSYCHIATRIC UNIT</v>
      </c>
      <c r="D26" s="70" t="str">
        <f ca="1">IF(VLOOKUP(A26,'Trust - Frontsheet'!$A$16:$AC$215,6,0)="","",VLOOKUP(A26,'Trust - Frontsheet'!$A$16:$AC$216,6,0))</f>
        <v>RADBOURNE UNIT - WARD 34 ADULT ACUTE INPATIENT</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Non-Registered Nurses/Midwives Avg Day Fill rate &gt; 100%</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Non-Registered Nurses/Midwives Avg Night Fill rate &gt;100%</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RXM81RADBOURNE UNIT - WARD 35 ADULT ACUTE INPATIENT</v>
      </c>
      <c r="B27" s="70" t="str">
        <f ca="1">IF('Trust - Frontsheet'!A29="","",'Trust - Frontsheet'!D29)</f>
        <v>RXM81</v>
      </c>
      <c r="C27" s="70" t="str">
        <f ca="1">IF(VLOOKUP(A27,'Trust - Frontsheet'!$A$16:$AC$215,5,0)="","",VLOOKUP(A27,'Trust - Frontsheet'!$A$16:$AC$216,5,0))</f>
        <v>WARD 35, PSYCHIATRIC UNIT</v>
      </c>
      <c r="D27" s="70" t="str">
        <f ca="1">IF(VLOOKUP(A27,'Trust - Frontsheet'!$A$16:$AC$215,6,0)="","",VLOOKUP(A27,'Trust - Frontsheet'!$A$16:$AC$216,6,0))</f>
        <v>RADBOURNE UNIT - WARD 35 ADULT ACUTE INPATIENT</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Non-Registered Nurses/Midwives Avg Day Fill rate &gt; 100%</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Non-Registered Nurses/Midwives Avg Night Fill rate &gt;100%</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RXM74RADBOURNE UNIT - WARD 36 ADULT ACUTE INPATIENT</v>
      </c>
      <c r="B28" s="70" t="str">
        <f ca="1">IF('Trust - Frontsheet'!A30="","",'Trust - Frontsheet'!D30)</f>
        <v>RXM74</v>
      </c>
      <c r="C28" s="70" t="str">
        <f ca="1">IF(VLOOKUP(A28,'Trust - Frontsheet'!$A$16:$AC$215,5,0)="","",VLOOKUP(A28,'Trust - Frontsheet'!$A$16:$AC$216,5,0))</f>
        <v>WARD 36, PSYCHIATRIC UNIT</v>
      </c>
      <c r="D28" s="70" t="str">
        <f ca="1">IF(VLOOKUP(A28,'Trust - Frontsheet'!$A$16:$AC$215,6,0)="","",VLOOKUP(A28,'Trust - Frontsheet'!$A$16:$AC$216,6,0))</f>
        <v>RADBOURNE UNIT - WARD 36 ADULT ACUTE INPATIENT</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Non-Registered Nurses/Midwives Avg Day Fill rate &gt; 100%</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Non-Registered Nurses/Midwives Avg Night Fill rate &gt;100%</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J6780"/>
  <sheetViews>
    <sheetView topLeftCell="B1" workbookViewId="0">
      <selection activeCell="B1" sqref="B1"/>
    </sheetView>
  </sheetViews>
  <sheetFormatPr defaultRowHeight="15" x14ac:dyDescent="0.2"/>
  <cols>
    <col min="1" max="1" width="67.33203125" hidden="1" customWidth="1"/>
    <col min="2" max="2" width="6.88671875" bestFit="1" customWidth="1"/>
    <col min="3" max="3" width="80.5546875" bestFit="1" customWidth="1"/>
    <col min="4" max="4" width="8.44140625"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28569ECD-0069-43DD-BF09-2EA19FFA2AC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P5075"/>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4067</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4111</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$I4067:$I4111</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xr:uid="{7BA60E35-0E3F-4830-B56B-D057C3089D0C}">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8155</v>
      </c>
      <c r="B2" t="s">
        <v>801</v>
      </c>
      <c r="C2" t="s">
        <v>11101</v>
      </c>
      <c r="D2" t="s">
        <v>16129</v>
      </c>
      <c r="F2">
        <v>30</v>
      </c>
      <c r="G2">
        <v>0</v>
      </c>
      <c r="H2">
        <v>15</v>
      </c>
      <c r="I2">
        <v>0</v>
      </c>
      <c r="J2">
        <v>-99</v>
      </c>
      <c r="K2">
        <v>-99</v>
      </c>
      <c r="L2">
        <v>-99</v>
      </c>
      <c r="M2">
        <v>-99</v>
      </c>
      <c r="N2">
        <v>21</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0</v>
      </c>
      <c r="AK2">
        <v>-99</v>
      </c>
      <c r="AL2">
        <v>-99</v>
      </c>
      <c r="AM2">
        <v>-99</v>
      </c>
      <c r="AN2">
        <v>-99</v>
      </c>
      <c r="AO2">
        <v>-99</v>
      </c>
      <c r="AP2">
        <v>-99</v>
      </c>
      <c r="AQ2">
        <v>-99</v>
      </c>
      <c r="AR2" t="str">
        <f>IF(A2="","",(IF(ISBLANK('Trust - Frontsheet'!$F$9),"",'Trust - Frontsheet'!$F$9)))</f>
        <v xml:space="preserve">https://www.derbyshirehealthcareft.nhs.uk/about-us/our-performance/safe-staffing	</v>
      </c>
    </row>
    <row r="3" spans="1:44" x14ac:dyDescent="0.2">
      <c r="A3" t="s">
        <v>8155</v>
      </c>
      <c r="B3" t="s">
        <v>801</v>
      </c>
      <c r="C3" t="s">
        <v>11102</v>
      </c>
      <c r="D3" t="s">
        <v>16225</v>
      </c>
      <c r="F3">
        <v>920</v>
      </c>
      <c r="G3">
        <v>588.14</v>
      </c>
      <c r="H3">
        <v>929</v>
      </c>
      <c r="I3">
        <v>881.3</v>
      </c>
      <c r="J3">
        <v>-99</v>
      </c>
      <c r="K3">
        <v>-99</v>
      </c>
      <c r="L3">
        <v>-99</v>
      </c>
      <c r="M3">
        <v>-99</v>
      </c>
      <c r="N3">
        <v>325.5</v>
      </c>
      <c r="O3">
        <v>315</v>
      </c>
      <c r="P3">
        <v>325.5</v>
      </c>
      <c r="Q3">
        <v>252.42</v>
      </c>
      <c r="R3">
        <v>-99</v>
      </c>
      <c r="S3">
        <v>-99</v>
      </c>
      <c r="T3">
        <v>-99</v>
      </c>
      <c r="U3">
        <v>-99</v>
      </c>
      <c r="V3">
        <v>0</v>
      </c>
      <c r="W3">
        <v>0</v>
      </c>
      <c r="X3">
        <v>0</v>
      </c>
      <c r="Y3">
        <v>200.82</v>
      </c>
      <c r="Z3">
        <v>0.63928260869565212</v>
      </c>
      <c r="AA3">
        <v>0.94865446716899893</v>
      </c>
      <c r="AB3">
        <v>-99</v>
      </c>
      <c r="AC3">
        <v>-99</v>
      </c>
      <c r="AD3">
        <v>0.967741935483871</v>
      </c>
      <c r="AE3">
        <v>0.77548387096774185</v>
      </c>
      <c r="AF3">
        <v>-99</v>
      </c>
      <c r="AG3">
        <v>-99</v>
      </c>
      <c r="AH3">
        <v>-99</v>
      </c>
      <c r="AI3">
        <v>-99</v>
      </c>
      <c r="AJ3">
        <v>87</v>
      </c>
      <c r="AK3">
        <v>10.380919540229884</v>
      </c>
      <c r="AL3">
        <v>13.031264367816092</v>
      </c>
      <c r="AM3">
        <v>0</v>
      </c>
      <c r="AN3">
        <v>0</v>
      </c>
      <c r="AO3">
        <v>0</v>
      </c>
      <c r="AP3">
        <v>2.3082758620689656</v>
      </c>
      <c r="AQ3">
        <v>25.720459770114946</v>
      </c>
      <c r="AR3" t="str">
        <f>IF(A3="","",(IF(ISBLANK('Trust - Frontsheet'!$F$9),"",'Trust - Frontsheet'!$F$9)))</f>
        <v xml:space="preserve">https://www.derbyshirehealthcareft.nhs.uk/about-us/our-performance/safe-staffing	</v>
      </c>
    </row>
    <row r="4" spans="1:44" x14ac:dyDescent="0.2">
      <c r="A4" t="s">
        <v>8155</v>
      </c>
      <c r="B4" t="s">
        <v>801</v>
      </c>
      <c r="C4" t="s">
        <v>11103</v>
      </c>
      <c r="D4" t="s">
        <v>16129</v>
      </c>
      <c r="F4">
        <v>936.78</v>
      </c>
      <c r="G4">
        <v>964.39</v>
      </c>
      <c r="H4">
        <v>1560</v>
      </c>
      <c r="I4">
        <v>1521.53</v>
      </c>
      <c r="J4">
        <v>-99</v>
      </c>
      <c r="K4">
        <v>-99</v>
      </c>
      <c r="L4">
        <v>-99</v>
      </c>
      <c r="M4">
        <v>-99</v>
      </c>
      <c r="N4">
        <v>658.75</v>
      </c>
      <c r="O4">
        <v>417.25</v>
      </c>
      <c r="P4">
        <v>325.5</v>
      </c>
      <c r="Q4">
        <v>766.5</v>
      </c>
      <c r="R4">
        <v>-99</v>
      </c>
      <c r="S4">
        <v>-99</v>
      </c>
      <c r="T4">
        <v>-99</v>
      </c>
      <c r="U4">
        <v>-99</v>
      </c>
      <c r="V4">
        <v>0</v>
      </c>
      <c r="W4">
        <v>0</v>
      </c>
      <c r="X4">
        <v>0</v>
      </c>
      <c r="Y4">
        <v>0</v>
      </c>
      <c r="Z4">
        <v>1.0294733021627276</v>
      </c>
      <c r="AA4">
        <v>0.97533974358974362</v>
      </c>
      <c r="AB4">
        <v>-99</v>
      </c>
      <c r="AC4">
        <v>-99</v>
      </c>
      <c r="AD4">
        <v>0.63339658444022773</v>
      </c>
      <c r="AE4">
        <v>2.3548387096774195</v>
      </c>
      <c r="AF4">
        <v>-99</v>
      </c>
      <c r="AG4">
        <v>-99</v>
      </c>
      <c r="AH4">
        <v>-99</v>
      </c>
      <c r="AI4">
        <v>-99</v>
      </c>
      <c r="AJ4">
        <v>728</v>
      </c>
      <c r="AK4">
        <v>1.8978571428571427</v>
      </c>
      <c r="AL4">
        <v>3.1428983516483515</v>
      </c>
      <c r="AM4">
        <v>0</v>
      </c>
      <c r="AN4">
        <v>0</v>
      </c>
      <c r="AO4">
        <v>0</v>
      </c>
      <c r="AP4">
        <v>0</v>
      </c>
      <c r="AQ4">
        <v>5.0407554945054942</v>
      </c>
      <c r="AR4" t="str">
        <f>IF(A4="","",(IF(ISBLANK('Trust - Frontsheet'!$F$9),"",'Trust - Frontsheet'!$F$9)))</f>
        <v xml:space="preserve">https://www.derbyshirehealthcareft.nhs.uk/about-us/our-performance/safe-staffing	</v>
      </c>
    </row>
    <row r="5" spans="1:44" x14ac:dyDescent="0.2">
      <c r="A5" t="s">
        <v>8205</v>
      </c>
      <c r="B5" t="s">
        <v>8206</v>
      </c>
      <c r="C5" t="s">
        <v>11109</v>
      </c>
      <c r="D5" t="s">
        <v>16225</v>
      </c>
      <c r="F5">
        <v>1351</v>
      </c>
      <c r="G5">
        <v>1170</v>
      </c>
      <c r="H5">
        <v>1393.5</v>
      </c>
      <c r="I5">
        <v>2027.5</v>
      </c>
      <c r="J5">
        <v>-99</v>
      </c>
      <c r="K5">
        <v>-99</v>
      </c>
      <c r="L5">
        <v>-99</v>
      </c>
      <c r="M5">
        <v>-99</v>
      </c>
      <c r="N5">
        <v>651</v>
      </c>
      <c r="O5">
        <v>505</v>
      </c>
      <c r="P5">
        <v>651</v>
      </c>
      <c r="Q5">
        <v>1648.5</v>
      </c>
      <c r="R5">
        <v>-99</v>
      </c>
      <c r="S5">
        <v>-99</v>
      </c>
      <c r="T5">
        <v>-99</v>
      </c>
      <c r="U5">
        <v>-99</v>
      </c>
      <c r="V5">
        <v>157.5</v>
      </c>
      <c r="W5">
        <v>120</v>
      </c>
      <c r="X5">
        <v>465</v>
      </c>
      <c r="Y5">
        <v>112.5</v>
      </c>
      <c r="Z5">
        <v>0.86602516654330131</v>
      </c>
      <c r="AA5">
        <v>1.4549695012558306</v>
      </c>
      <c r="AB5">
        <v>-99</v>
      </c>
      <c r="AC5">
        <v>-99</v>
      </c>
      <c r="AD5">
        <v>0.77572964669738864</v>
      </c>
      <c r="AE5">
        <v>2.532258064516129</v>
      </c>
      <c r="AF5">
        <v>-99</v>
      </c>
      <c r="AG5">
        <v>-99</v>
      </c>
      <c r="AH5">
        <v>0.76190476190476186</v>
      </c>
      <c r="AI5">
        <v>0.24193548387096775</v>
      </c>
      <c r="AJ5">
        <v>280</v>
      </c>
      <c r="AK5">
        <v>5.9821428571428568</v>
      </c>
      <c r="AL5">
        <v>13.128571428571428</v>
      </c>
      <c r="AM5">
        <v>0</v>
      </c>
      <c r="AN5">
        <v>0</v>
      </c>
      <c r="AO5">
        <v>0.42857142857142855</v>
      </c>
      <c r="AP5">
        <v>0.4017857142857143</v>
      </c>
      <c r="AQ5">
        <v>19.94107142857143</v>
      </c>
      <c r="AR5" t="str">
        <f>IF(A5="","",(IF(ISBLANK('Trust - Frontsheet'!$F$9),"",'Trust - Frontsheet'!$F$9)))</f>
        <v xml:space="preserve">https://www.derbyshirehealthcareft.nhs.uk/about-us/our-performance/safe-staffing	</v>
      </c>
    </row>
    <row r="6" spans="1:44" x14ac:dyDescent="0.2">
      <c r="A6" t="s">
        <v>8195</v>
      </c>
      <c r="B6" t="s">
        <v>8196</v>
      </c>
      <c r="C6" t="s">
        <v>11107</v>
      </c>
      <c r="D6" t="s">
        <v>16225</v>
      </c>
      <c r="F6">
        <v>1378.5</v>
      </c>
      <c r="G6">
        <v>1251.82</v>
      </c>
      <c r="H6">
        <v>1400.25</v>
      </c>
      <c r="I6">
        <v>2104.75</v>
      </c>
      <c r="J6">
        <v>-99</v>
      </c>
      <c r="K6">
        <v>-99</v>
      </c>
      <c r="L6">
        <v>-99</v>
      </c>
      <c r="M6">
        <v>-99</v>
      </c>
      <c r="N6">
        <v>573.5</v>
      </c>
      <c r="O6">
        <v>301.57</v>
      </c>
      <c r="P6">
        <v>573.5</v>
      </c>
      <c r="Q6">
        <v>1161.6199999999999</v>
      </c>
      <c r="R6">
        <v>-99</v>
      </c>
      <c r="S6">
        <v>-99</v>
      </c>
      <c r="T6">
        <v>-99</v>
      </c>
      <c r="U6">
        <v>-99</v>
      </c>
      <c r="V6">
        <v>475.25</v>
      </c>
      <c r="W6">
        <v>276.25</v>
      </c>
      <c r="X6">
        <v>0</v>
      </c>
      <c r="Y6">
        <v>0</v>
      </c>
      <c r="Z6">
        <v>0.9081030105186797</v>
      </c>
      <c r="AA6">
        <v>1.5031244420639172</v>
      </c>
      <c r="AB6">
        <v>-99</v>
      </c>
      <c r="AC6">
        <v>-99</v>
      </c>
      <c r="AD6">
        <v>0.52584132519616389</v>
      </c>
      <c r="AE6">
        <v>2.0254925893635569</v>
      </c>
      <c r="AF6">
        <v>-99</v>
      </c>
      <c r="AG6">
        <v>-99</v>
      </c>
      <c r="AH6">
        <v>0.581273014203051</v>
      </c>
      <c r="AI6">
        <v>-99</v>
      </c>
      <c r="AJ6">
        <v>548</v>
      </c>
      <c r="AK6">
        <v>2.8346532846715324</v>
      </c>
      <c r="AL6">
        <v>5.9605291970802918</v>
      </c>
      <c r="AM6">
        <v>0</v>
      </c>
      <c r="AN6">
        <v>0</v>
      </c>
      <c r="AO6">
        <v>0.50410583941605835</v>
      </c>
      <c r="AP6">
        <v>0</v>
      </c>
      <c r="AQ6">
        <v>9.2992883211678841</v>
      </c>
      <c r="AR6" t="str">
        <f>IF(A6="","",(IF(ISBLANK('Trust - Frontsheet'!$F$9),"",'Trust - Frontsheet'!$F$9)))</f>
        <v xml:space="preserve">https://www.derbyshirehealthcareft.nhs.uk/about-us/our-performance/safe-staffing	</v>
      </c>
    </row>
    <row r="7" spans="1:44" x14ac:dyDescent="0.2">
      <c r="A7" t="s">
        <v>8201</v>
      </c>
      <c r="B7" t="s">
        <v>8202</v>
      </c>
      <c r="C7" t="s">
        <v>11108</v>
      </c>
      <c r="D7" t="s">
        <v>16225</v>
      </c>
      <c r="E7" t="s">
        <v>16237</v>
      </c>
      <c r="F7">
        <v>1535.5</v>
      </c>
      <c r="G7">
        <v>1147.75</v>
      </c>
      <c r="H7">
        <v>1409.25</v>
      </c>
      <c r="I7">
        <v>1387.57</v>
      </c>
      <c r="J7">
        <v>-99</v>
      </c>
      <c r="K7">
        <v>-99</v>
      </c>
      <c r="L7">
        <v>-99</v>
      </c>
      <c r="M7">
        <v>-99</v>
      </c>
      <c r="N7">
        <v>573.5</v>
      </c>
      <c r="O7">
        <v>385.85</v>
      </c>
      <c r="P7">
        <v>573.5</v>
      </c>
      <c r="Q7">
        <v>1028</v>
      </c>
      <c r="R7">
        <v>-99</v>
      </c>
      <c r="S7">
        <v>-99</v>
      </c>
      <c r="T7">
        <v>-99</v>
      </c>
      <c r="U7">
        <v>-99</v>
      </c>
      <c r="V7">
        <v>465</v>
      </c>
      <c r="W7">
        <v>186.5</v>
      </c>
      <c r="X7">
        <v>0</v>
      </c>
      <c r="Y7">
        <v>0</v>
      </c>
      <c r="Z7">
        <v>0.74747639205470529</v>
      </c>
      <c r="AA7">
        <v>0.98461593045946416</v>
      </c>
      <c r="AB7">
        <v>-99</v>
      </c>
      <c r="AC7">
        <v>-99</v>
      </c>
      <c r="AD7">
        <v>0.67279860505666966</v>
      </c>
      <c r="AE7">
        <v>1.7925021795989537</v>
      </c>
      <c r="AF7">
        <v>-99</v>
      </c>
      <c r="AG7">
        <v>-99</v>
      </c>
      <c r="AH7">
        <v>0.40107526881720429</v>
      </c>
      <c r="AI7">
        <v>-99</v>
      </c>
      <c r="AJ7">
        <v>395</v>
      </c>
      <c r="AK7">
        <v>3.8825316455696202</v>
      </c>
      <c r="AL7">
        <v>6.1153670886075941</v>
      </c>
      <c r="AM7">
        <v>0</v>
      </c>
      <c r="AN7">
        <v>0</v>
      </c>
      <c r="AO7">
        <v>0.47215189873417723</v>
      </c>
      <c r="AP7">
        <v>0</v>
      </c>
      <c r="AQ7">
        <v>10.470050632911393</v>
      </c>
      <c r="AR7" t="str">
        <f>IF(A7="","",(IF(ISBLANK('Trust - Frontsheet'!$F$9),"",'Trust - Frontsheet'!$F$9)))</f>
        <v xml:space="preserve">https://www.derbyshirehealthcareft.nhs.uk/about-us/our-performance/safe-staffing	</v>
      </c>
    </row>
    <row r="8" spans="1:44" x14ac:dyDescent="0.2">
      <c r="A8" t="s">
        <v>8211</v>
      </c>
      <c r="B8" t="s">
        <v>8212</v>
      </c>
      <c r="C8" t="s">
        <v>11110</v>
      </c>
      <c r="D8" t="s">
        <v>16225</v>
      </c>
      <c r="F8">
        <v>1571.75</v>
      </c>
      <c r="G8">
        <v>1141.6400000000001</v>
      </c>
      <c r="H8">
        <v>1418.25</v>
      </c>
      <c r="I8">
        <v>1818.73</v>
      </c>
      <c r="J8">
        <v>-99</v>
      </c>
      <c r="K8">
        <v>-99</v>
      </c>
      <c r="L8">
        <v>-99</v>
      </c>
      <c r="M8">
        <v>-99</v>
      </c>
      <c r="N8">
        <v>582.08000000000004</v>
      </c>
      <c r="O8">
        <v>438.44</v>
      </c>
      <c r="P8">
        <v>582.08000000000004</v>
      </c>
      <c r="Q8">
        <v>1049.3</v>
      </c>
      <c r="R8">
        <v>-99</v>
      </c>
      <c r="S8">
        <v>-99</v>
      </c>
      <c r="T8">
        <v>-99</v>
      </c>
      <c r="U8">
        <v>-99</v>
      </c>
      <c r="V8">
        <v>945.5</v>
      </c>
      <c r="W8">
        <v>0</v>
      </c>
      <c r="X8">
        <v>0</v>
      </c>
      <c r="Y8">
        <v>0</v>
      </c>
      <c r="Z8">
        <v>0.72634961030698275</v>
      </c>
      <c r="AA8">
        <v>1.282376167812445</v>
      </c>
      <c r="AB8">
        <v>-99</v>
      </c>
      <c r="AC8">
        <v>-99</v>
      </c>
      <c r="AD8">
        <v>0.75322979659153377</v>
      </c>
      <c r="AE8">
        <v>1.8026731720725671</v>
      </c>
      <c r="AF8">
        <v>-99</v>
      </c>
      <c r="AG8">
        <v>-99</v>
      </c>
      <c r="AH8">
        <v>0</v>
      </c>
      <c r="AI8">
        <v>-99</v>
      </c>
      <c r="AJ8">
        <v>498</v>
      </c>
      <c r="AK8">
        <v>3.1728514056224904</v>
      </c>
      <c r="AL8">
        <v>5.7590963855421684</v>
      </c>
      <c r="AM8">
        <v>0</v>
      </c>
      <c r="AN8">
        <v>0</v>
      </c>
      <c r="AO8">
        <v>0</v>
      </c>
      <c r="AP8">
        <v>0</v>
      </c>
      <c r="AQ8">
        <v>8.9319477911646583</v>
      </c>
      <c r="AR8" t="str">
        <f>IF(A8="","",(IF(ISBLANK('Trust - Frontsheet'!$F$9),"",'Trust - Frontsheet'!$F$9)))</f>
        <v xml:space="preserve">https://www.derbyshirehealthcareft.nhs.uk/about-us/our-performance/safe-staffing	</v>
      </c>
    </row>
    <row r="9" spans="1:44" x14ac:dyDescent="0.2">
      <c r="A9" t="s">
        <v>8187</v>
      </c>
      <c r="B9" t="s">
        <v>8188</v>
      </c>
      <c r="C9" t="s">
        <v>11106</v>
      </c>
      <c r="D9" t="s">
        <v>16231</v>
      </c>
      <c r="F9">
        <v>1904.34</v>
      </c>
      <c r="G9">
        <v>1862.26</v>
      </c>
      <c r="H9">
        <v>2314</v>
      </c>
      <c r="I9">
        <v>1873.57</v>
      </c>
      <c r="J9">
        <v>-99</v>
      </c>
      <c r="K9">
        <v>-99</v>
      </c>
      <c r="L9">
        <v>-99</v>
      </c>
      <c r="M9">
        <v>-99</v>
      </c>
      <c r="N9">
        <v>635.5</v>
      </c>
      <c r="O9">
        <v>646.75</v>
      </c>
      <c r="P9">
        <v>1271</v>
      </c>
      <c r="Q9">
        <v>1281.25</v>
      </c>
      <c r="R9">
        <v>-99</v>
      </c>
      <c r="S9">
        <v>-99</v>
      </c>
      <c r="T9">
        <v>-99</v>
      </c>
      <c r="U9">
        <v>-99</v>
      </c>
      <c r="V9">
        <v>0</v>
      </c>
      <c r="W9">
        <v>0</v>
      </c>
      <c r="X9">
        <v>224.5</v>
      </c>
      <c r="Y9">
        <v>90</v>
      </c>
      <c r="Z9">
        <v>0.97790310553787663</v>
      </c>
      <c r="AA9">
        <v>0.80966724286948999</v>
      </c>
      <c r="AB9">
        <v>-99</v>
      </c>
      <c r="AC9">
        <v>-99</v>
      </c>
      <c r="AD9">
        <v>1.0177025963808026</v>
      </c>
      <c r="AE9">
        <v>1.0080645161290323</v>
      </c>
      <c r="AF9">
        <v>-99</v>
      </c>
      <c r="AG9">
        <v>-99</v>
      </c>
      <c r="AH9">
        <v>-99</v>
      </c>
      <c r="AI9">
        <v>0.40089086859688194</v>
      </c>
      <c r="AJ9">
        <v>496</v>
      </c>
      <c r="AK9">
        <v>5.0584879032258065</v>
      </c>
      <c r="AL9">
        <v>6.3605241935483869</v>
      </c>
      <c r="AM9">
        <v>0</v>
      </c>
      <c r="AN9">
        <v>0</v>
      </c>
      <c r="AO9">
        <v>0</v>
      </c>
      <c r="AP9">
        <v>0.18145161290322581</v>
      </c>
      <c r="AQ9">
        <v>11.600463709677419</v>
      </c>
      <c r="AR9" t="str">
        <f>IF(A9="","",(IF(ISBLANK('Trust - Frontsheet'!$F$9),"",'Trust - Frontsheet'!$F$9)))</f>
        <v xml:space="preserve">https://www.derbyshirehealthcareft.nhs.uk/about-us/our-performance/safe-staffing	</v>
      </c>
    </row>
    <row r="10" spans="1:44" x14ac:dyDescent="0.2">
      <c r="A10" t="s">
        <v>8155</v>
      </c>
      <c r="B10" t="s">
        <v>801</v>
      </c>
      <c r="C10" t="s">
        <v>11104</v>
      </c>
      <c r="D10" t="s">
        <v>16237</v>
      </c>
      <c r="F10">
        <v>1390.67</v>
      </c>
      <c r="G10">
        <v>1047.4000000000001</v>
      </c>
      <c r="H10">
        <v>1941.67</v>
      </c>
      <c r="I10">
        <v>2259.69</v>
      </c>
      <c r="J10">
        <v>-99</v>
      </c>
      <c r="K10">
        <v>-99</v>
      </c>
      <c r="L10">
        <v>-99</v>
      </c>
      <c r="M10">
        <v>-99</v>
      </c>
      <c r="N10">
        <v>645.73</v>
      </c>
      <c r="O10">
        <v>431.12</v>
      </c>
      <c r="P10">
        <v>1291.77</v>
      </c>
      <c r="Q10">
        <v>1411.77</v>
      </c>
      <c r="R10">
        <v>-99</v>
      </c>
      <c r="S10">
        <v>-99</v>
      </c>
      <c r="T10">
        <v>-99</v>
      </c>
      <c r="U10">
        <v>-99</v>
      </c>
      <c r="V10">
        <v>465</v>
      </c>
      <c r="W10">
        <v>0</v>
      </c>
      <c r="X10">
        <v>0</v>
      </c>
      <c r="Y10">
        <v>0</v>
      </c>
      <c r="Z10">
        <v>0.75316214486542465</v>
      </c>
      <c r="AA10">
        <v>1.1637868432843892</v>
      </c>
      <c r="AB10">
        <v>-99</v>
      </c>
      <c r="AC10">
        <v>-99</v>
      </c>
      <c r="AD10">
        <v>0.66764746875629133</v>
      </c>
      <c r="AE10">
        <v>1.0928957941429203</v>
      </c>
      <c r="AF10">
        <v>-99</v>
      </c>
      <c r="AG10">
        <v>-99</v>
      </c>
      <c r="AH10">
        <v>0</v>
      </c>
      <c r="AI10">
        <v>-99</v>
      </c>
      <c r="AJ10">
        <v>250</v>
      </c>
      <c r="AK10">
        <v>5.9140800000000002</v>
      </c>
      <c r="AL10">
        <v>14.685840000000001</v>
      </c>
      <c r="AM10">
        <v>0</v>
      </c>
      <c r="AN10">
        <v>0</v>
      </c>
      <c r="AO10">
        <v>0</v>
      </c>
      <c r="AP10">
        <v>0</v>
      </c>
      <c r="AQ10">
        <v>20.599919999999997</v>
      </c>
      <c r="AR10" t="str">
        <f>IF(A10="","",(IF(ISBLANK('Trust - Frontsheet'!$F$9),"",'Trust - Frontsheet'!$F$9)))</f>
        <v xml:space="preserve">https://www.derbyshirehealthcareft.nhs.uk/about-us/our-performance/safe-staffing	</v>
      </c>
    </row>
    <row r="11" spans="1:44" x14ac:dyDescent="0.2">
      <c r="A11" t="s">
        <v>8155</v>
      </c>
      <c r="B11" t="s">
        <v>801</v>
      </c>
      <c r="C11" t="s">
        <v>11105</v>
      </c>
      <c r="D11" t="s">
        <v>16237</v>
      </c>
      <c r="F11">
        <v>1608.33</v>
      </c>
      <c r="G11">
        <v>1136.31</v>
      </c>
      <c r="H11">
        <v>2553.8200000000002</v>
      </c>
      <c r="I11">
        <v>2924.32</v>
      </c>
      <c r="J11">
        <v>-99</v>
      </c>
      <c r="K11">
        <v>-99</v>
      </c>
      <c r="L11">
        <v>-99</v>
      </c>
      <c r="M11">
        <v>-99</v>
      </c>
      <c r="N11">
        <v>645.73</v>
      </c>
      <c r="O11">
        <v>591.28</v>
      </c>
      <c r="P11">
        <v>968.75</v>
      </c>
      <c r="Q11">
        <v>1314.46</v>
      </c>
      <c r="R11">
        <v>-99</v>
      </c>
      <c r="S11">
        <v>-99</v>
      </c>
      <c r="T11">
        <v>-99</v>
      </c>
      <c r="U11">
        <v>-99</v>
      </c>
      <c r="V11">
        <v>465</v>
      </c>
      <c r="W11">
        <v>165</v>
      </c>
      <c r="X11">
        <v>0</v>
      </c>
      <c r="Y11">
        <v>0</v>
      </c>
      <c r="Z11">
        <v>0.70651545391803916</v>
      </c>
      <c r="AA11">
        <v>1.1450767869309504</v>
      </c>
      <c r="AB11">
        <v>-99</v>
      </c>
      <c r="AC11">
        <v>-99</v>
      </c>
      <c r="AD11">
        <v>0.91567683087358487</v>
      </c>
      <c r="AE11">
        <v>1.3568619354838709</v>
      </c>
      <c r="AF11">
        <v>-99</v>
      </c>
      <c r="AG11">
        <v>-99</v>
      </c>
      <c r="AH11">
        <v>0.35483870967741937</v>
      </c>
      <c r="AI11">
        <v>-99</v>
      </c>
      <c r="AJ11">
        <v>164</v>
      </c>
      <c r="AK11">
        <v>10.534085365853658</v>
      </c>
      <c r="AL11">
        <v>25.846219512195127</v>
      </c>
      <c r="AM11">
        <v>0</v>
      </c>
      <c r="AN11">
        <v>0</v>
      </c>
      <c r="AO11">
        <v>1.0060975609756098</v>
      </c>
      <c r="AP11">
        <v>0</v>
      </c>
      <c r="AQ11">
        <v>37.386402439024387</v>
      </c>
      <c r="AR11" t="str">
        <f>IF(A11="","",(IF(ISBLANK('Trust - Frontsheet'!$F$9),"",'Trust - Frontsheet'!$F$9)))</f>
        <v xml:space="preserve">https://www.derbyshirehealthcareft.nhs.uk/about-us/our-performance/safe-staffing	</v>
      </c>
    </row>
    <row r="12" spans="1:44" x14ac:dyDescent="0.2">
      <c r="A12" t="s">
        <v>8223</v>
      </c>
      <c r="B12" t="s">
        <v>8224</v>
      </c>
      <c r="C12" t="s">
        <v>11111</v>
      </c>
      <c r="D12" t="s">
        <v>16237</v>
      </c>
      <c r="F12">
        <v>1646.33</v>
      </c>
      <c r="G12">
        <v>1164.96</v>
      </c>
      <c r="H12">
        <v>1470</v>
      </c>
      <c r="I12">
        <v>1442.83</v>
      </c>
      <c r="J12">
        <v>-99</v>
      </c>
      <c r="K12">
        <v>-99</v>
      </c>
      <c r="L12">
        <v>-99</v>
      </c>
      <c r="M12">
        <v>-99</v>
      </c>
      <c r="N12">
        <v>645.73</v>
      </c>
      <c r="O12">
        <v>572.86</v>
      </c>
      <c r="P12">
        <v>645.73</v>
      </c>
      <c r="Q12">
        <v>923.48</v>
      </c>
      <c r="R12">
        <v>-99</v>
      </c>
      <c r="S12">
        <v>-99</v>
      </c>
      <c r="T12">
        <v>-99</v>
      </c>
      <c r="U12">
        <v>-99</v>
      </c>
      <c r="V12">
        <v>0</v>
      </c>
      <c r="W12">
        <v>0</v>
      </c>
      <c r="X12">
        <v>0</v>
      </c>
      <c r="Y12">
        <v>0</v>
      </c>
      <c r="Z12">
        <v>0.70761026039736874</v>
      </c>
      <c r="AA12">
        <v>0.98151700680272103</v>
      </c>
      <c r="AB12">
        <v>-99</v>
      </c>
      <c r="AC12">
        <v>-99</v>
      </c>
      <c r="AD12">
        <v>0.88715097641429075</v>
      </c>
      <c r="AE12">
        <v>1.4301333374630263</v>
      </c>
      <c r="AF12">
        <v>-99</v>
      </c>
      <c r="AG12">
        <v>-99</v>
      </c>
      <c r="AH12">
        <v>-99</v>
      </c>
      <c r="AI12">
        <v>-99</v>
      </c>
      <c r="AJ12">
        <v>410</v>
      </c>
      <c r="AK12">
        <v>4.238585365853659</v>
      </c>
      <c r="AL12">
        <v>5.7714878048780482</v>
      </c>
      <c r="AM12">
        <v>0</v>
      </c>
      <c r="AN12">
        <v>0</v>
      </c>
      <c r="AO12">
        <v>0</v>
      </c>
      <c r="AP12">
        <v>0</v>
      </c>
      <c r="AQ12">
        <v>10.010073170731708</v>
      </c>
      <c r="AR12" t="str">
        <f>IF(A12="","",(IF(ISBLANK('Trust - Frontsheet'!$F$9),"",'Trust - Frontsheet'!$F$9)))</f>
        <v xml:space="preserve">https://www.derbyshirehealthcareft.nhs.uk/about-us/our-performance/safe-staffing	</v>
      </c>
    </row>
    <row r="13" spans="1:44" x14ac:dyDescent="0.2">
      <c r="A13" t="s">
        <v>8229</v>
      </c>
      <c r="B13" t="s">
        <v>8230</v>
      </c>
      <c r="C13" t="s">
        <v>11112</v>
      </c>
      <c r="D13" t="s">
        <v>16225</v>
      </c>
      <c r="F13">
        <v>1353</v>
      </c>
      <c r="G13">
        <v>1182.43</v>
      </c>
      <c r="H13">
        <v>1160.5</v>
      </c>
      <c r="I13">
        <v>1769.07</v>
      </c>
      <c r="J13">
        <v>-99</v>
      </c>
      <c r="K13">
        <v>-99</v>
      </c>
      <c r="L13">
        <v>-99</v>
      </c>
      <c r="M13">
        <v>-99</v>
      </c>
      <c r="N13">
        <v>651</v>
      </c>
      <c r="O13">
        <v>559.25</v>
      </c>
      <c r="P13">
        <v>325.5</v>
      </c>
      <c r="Q13">
        <v>957.89</v>
      </c>
      <c r="R13">
        <v>-99</v>
      </c>
      <c r="S13">
        <v>-99</v>
      </c>
      <c r="T13">
        <v>-99</v>
      </c>
      <c r="U13">
        <v>-99</v>
      </c>
      <c r="V13">
        <v>459.5</v>
      </c>
      <c r="W13">
        <v>182</v>
      </c>
      <c r="X13">
        <v>0</v>
      </c>
      <c r="Y13">
        <v>0</v>
      </c>
      <c r="Z13">
        <v>0.87393200295639328</v>
      </c>
      <c r="AA13">
        <v>1.5244032744506677</v>
      </c>
      <c r="AB13">
        <v>-99</v>
      </c>
      <c r="AC13">
        <v>-99</v>
      </c>
      <c r="AD13">
        <v>0.85906298003072201</v>
      </c>
      <c r="AE13">
        <v>2.9428264208909369</v>
      </c>
      <c r="AF13">
        <v>-99</v>
      </c>
      <c r="AG13">
        <v>-99</v>
      </c>
      <c r="AH13">
        <v>0.39608269858541895</v>
      </c>
      <c r="AI13">
        <v>-99</v>
      </c>
      <c r="AJ13">
        <v>479</v>
      </c>
      <c r="AK13">
        <v>3.6360751565762004</v>
      </c>
      <c r="AL13">
        <v>5.6930271398747392</v>
      </c>
      <c r="AM13">
        <v>0</v>
      </c>
      <c r="AN13">
        <v>0</v>
      </c>
      <c r="AO13">
        <v>0.37995824634655534</v>
      </c>
      <c r="AP13">
        <v>0</v>
      </c>
      <c r="AQ13">
        <v>9.709060542797495</v>
      </c>
      <c r="AR13" t="str">
        <f>IF(A13="","",(IF(ISBLANK('Trust - Frontsheet'!$F$9),"",'Trust - Frontsheet'!$F$9)))</f>
        <v xml:space="preserve">https://www.derbyshirehealthcareft.nhs.uk/about-us/our-performance/safe-staffing	</v>
      </c>
    </row>
    <row r="14" spans="1:44" x14ac:dyDescent="0.2">
      <c r="A14" t="s">
        <v>8231</v>
      </c>
      <c r="B14" t="s">
        <v>8232</v>
      </c>
      <c r="C14" t="s">
        <v>11113</v>
      </c>
      <c r="D14" t="s">
        <v>16225</v>
      </c>
      <c r="F14">
        <v>1383</v>
      </c>
      <c r="G14">
        <v>1236</v>
      </c>
      <c r="H14">
        <v>1156</v>
      </c>
      <c r="I14">
        <v>1633.25</v>
      </c>
      <c r="J14">
        <v>-99</v>
      </c>
      <c r="K14">
        <v>-99</v>
      </c>
      <c r="L14">
        <v>-99</v>
      </c>
      <c r="M14">
        <v>-99</v>
      </c>
      <c r="N14">
        <v>651</v>
      </c>
      <c r="O14">
        <v>493.5</v>
      </c>
      <c r="P14">
        <v>325.5</v>
      </c>
      <c r="Q14">
        <v>1160.75</v>
      </c>
      <c r="R14">
        <v>-99</v>
      </c>
      <c r="S14">
        <v>-99</v>
      </c>
      <c r="T14">
        <v>-99</v>
      </c>
      <c r="U14">
        <v>-99</v>
      </c>
      <c r="V14">
        <v>465.5</v>
      </c>
      <c r="W14">
        <v>309.25</v>
      </c>
      <c r="X14">
        <v>0</v>
      </c>
      <c r="Y14">
        <v>0</v>
      </c>
      <c r="Z14">
        <v>0.89370932754880694</v>
      </c>
      <c r="AA14">
        <v>1.4128460207612457</v>
      </c>
      <c r="AB14">
        <v>-99</v>
      </c>
      <c r="AC14">
        <v>-99</v>
      </c>
      <c r="AD14">
        <v>0.75806451612903225</v>
      </c>
      <c r="AE14">
        <v>3.5660522273425501</v>
      </c>
      <c r="AF14">
        <v>-99</v>
      </c>
      <c r="AG14">
        <v>-99</v>
      </c>
      <c r="AH14">
        <v>0.66433941997851775</v>
      </c>
      <c r="AI14">
        <v>-99</v>
      </c>
      <c r="AJ14">
        <v>523</v>
      </c>
      <c r="AK14">
        <v>3.3068833652007648</v>
      </c>
      <c r="AL14">
        <v>5.3422562141491392</v>
      </c>
      <c r="AM14">
        <v>0</v>
      </c>
      <c r="AN14">
        <v>0</v>
      </c>
      <c r="AO14">
        <v>0.59130019120458888</v>
      </c>
      <c r="AP14">
        <v>0</v>
      </c>
      <c r="AQ14">
        <v>9.2404397705544934</v>
      </c>
      <c r="AR14" t="str">
        <f>IF(A14="","",(IF(ISBLANK('Trust - Frontsheet'!$F$9),"",'Trust - Frontsheet'!$F$9)))</f>
        <v xml:space="preserve">https://www.derbyshirehealthcareft.nhs.uk/about-us/our-performance/safe-staffing	</v>
      </c>
    </row>
    <row r="15" spans="1:44" x14ac:dyDescent="0.2">
      <c r="A15" t="s">
        <v>8233</v>
      </c>
      <c r="B15" t="s">
        <v>8234</v>
      </c>
      <c r="C15" t="s">
        <v>11114</v>
      </c>
      <c r="D15" t="s">
        <v>16225</v>
      </c>
      <c r="F15">
        <v>1381</v>
      </c>
      <c r="G15">
        <v>1279.07</v>
      </c>
      <c r="H15">
        <v>1179</v>
      </c>
      <c r="I15">
        <v>1375</v>
      </c>
      <c r="J15">
        <v>-99</v>
      </c>
      <c r="K15">
        <v>-99</v>
      </c>
      <c r="L15">
        <v>-99</v>
      </c>
      <c r="M15">
        <v>-99</v>
      </c>
      <c r="N15">
        <v>651</v>
      </c>
      <c r="O15">
        <v>409</v>
      </c>
      <c r="P15">
        <v>325.5</v>
      </c>
      <c r="Q15">
        <v>777</v>
      </c>
      <c r="R15">
        <v>-99</v>
      </c>
      <c r="S15">
        <v>-99</v>
      </c>
      <c r="T15">
        <v>-99</v>
      </c>
      <c r="U15">
        <v>-99</v>
      </c>
      <c r="V15">
        <v>465</v>
      </c>
      <c r="W15">
        <v>7.5</v>
      </c>
      <c r="X15">
        <v>0</v>
      </c>
      <c r="Y15">
        <v>0</v>
      </c>
      <c r="Z15">
        <v>0.92619116582186811</v>
      </c>
      <c r="AA15">
        <v>1.1662425784563188</v>
      </c>
      <c r="AB15">
        <v>-99</v>
      </c>
      <c r="AC15">
        <v>-99</v>
      </c>
      <c r="AD15">
        <v>0.62826420890937018</v>
      </c>
      <c r="AE15">
        <v>2.3870967741935485</v>
      </c>
      <c r="AF15">
        <v>-99</v>
      </c>
      <c r="AG15">
        <v>-99</v>
      </c>
      <c r="AH15">
        <v>1.6129032258064516E-2</v>
      </c>
      <c r="AI15">
        <v>-99</v>
      </c>
      <c r="AJ15">
        <v>407</v>
      </c>
      <c r="AK15">
        <v>4.1475921375921372</v>
      </c>
      <c r="AL15">
        <v>5.2874692874692872</v>
      </c>
      <c r="AM15">
        <v>0</v>
      </c>
      <c r="AN15">
        <v>0</v>
      </c>
      <c r="AO15">
        <v>1.8427518427518427E-2</v>
      </c>
      <c r="AP15">
        <v>0</v>
      </c>
      <c r="AQ15">
        <v>9.4534889434889422</v>
      </c>
      <c r="AR15" t="str">
        <f>IF(A15="","",(IF(ISBLANK('Trust - Frontsheet'!$F$9),"",'Trust - Frontsheet'!$F$9)))</f>
        <v xml:space="preserve">https://www.derbyshirehealthcareft.nhs.uk/about-us/our-performance/safe-staffing	</v>
      </c>
    </row>
    <row r="16" spans="1:44" x14ac:dyDescent="0.2">
      <c r="A16" t="s">
        <v>8235</v>
      </c>
      <c r="B16" t="s">
        <v>8236</v>
      </c>
      <c r="C16" t="s">
        <v>11115</v>
      </c>
      <c r="D16" t="s">
        <v>16225</v>
      </c>
      <c r="F16">
        <v>1369.5</v>
      </c>
      <c r="G16">
        <v>1283.5</v>
      </c>
      <c r="H16">
        <v>1543.5</v>
      </c>
      <c r="I16">
        <v>1614.81</v>
      </c>
      <c r="J16">
        <v>-99</v>
      </c>
      <c r="K16">
        <v>-99</v>
      </c>
      <c r="L16">
        <v>-99</v>
      </c>
      <c r="M16">
        <v>-99</v>
      </c>
      <c r="N16">
        <v>651</v>
      </c>
      <c r="O16">
        <v>367.5</v>
      </c>
      <c r="P16">
        <v>346.5</v>
      </c>
      <c r="Q16">
        <v>1081.92</v>
      </c>
      <c r="R16">
        <v>-99</v>
      </c>
      <c r="S16">
        <v>-99</v>
      </c>
      <c r="T16">
        <v>-99</v>
      </c>
      <c r="U16">
        <v>-99</v>
      </c>
      <c r="V16">
        <v>465</v>
      </c>
      <c r="W16">
        <v>44.5</v>
      </c>
      <c r="X16">
        <v>232.5</v>
      </c>
      <c r="Y16">
        <v>130.75</v>
      </c>
      <c r="Z16">
        <v>0.93720335889010586</v>
      </c>
      <c r="AA16">
        <v>1.0462001943634596</v>
      </c>
      <c r="AB16">
        <v>-99</v>
      </c>
      <c r="AC16">
        <v>-99</v>
      </c>
      <c r="AD16">
        <v>0.56451612903225812</v>
      </c>
      <c r="AE16">
        <v>3.1224242424242425</v>
      </c>
      <c r="AF16">
        <v>-99</v>
      </c>
      <c r="AG16">
        <v>-99</v>
      </c>
      <c r="AH16">
        <v>9.56989247311828E-2</v>
      </c>
      <c r="AI16">
        <v>0.56236559139784947</v>
      </c>
      <c r="AJ16">
        <v>400</v>
      </c>
      <c r="AK16">
        <v>4.1275000000000004</v>
      </c>
      <c r="AL16">
        <v>6.7418250000000004</v>
      </c>
      <c r="AM16">
        <v>0</v>
      </c>
      <c r="AN16">
        <v>0</v>
      </c>
      <c r="AO16">
        <v>0.11125</v>
      </c>
      <c r="AP16">
        <v>0.32687500000000003</v>
      </c>
      <c r="AQ16">
        <v>11.307449999999999</v>
      </c>
      <c r="AR16" t="str">
        <f>IF(A16="","",(IF(ISBLANK('Trust - Frontsheet'!$F$9),"",'Trust - Frontsheet'!$F$9)))</f>
        <v xml:space="preserve">https://www.derbyshirehealthcareft.nhs.uk/about-us/our-performance/safe-staffing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633d6341-889e-4b5f-9e80-3947d34778b7"/>
    <ds:schemaRef ds:uri="http://purl.org/dc/dcmitype/"/>
    <ds:schemaRef ds:uri="http://purl.org/dc/terms/"/>
    <ds:schemaRef ds:uri="http://www.w3.org/XML/1998/namespace"/>
    <ds:schemaRef ds:uri="http://schemas.openxmlformats.org/package/2006/metadata/core-properties"/>
    <ds:schemaRef ds:uri="32eb6925-5645-41a1-99e0-47ece1c4f54b"/>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2020-11-09T10:41:37Z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